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 ROVEDA\LICITAÇÕES 2024\concorrência - coleta resíduos\"/>
    </mc:Choice>
  </mc:AlternateContent>
  <bookViews>
    <workbookView xWindow="0" yWindow="0" windowWidth="28800" windowHeight="11835" tabRatio="802"/>
  </bookViews>
  <sheets>
    <sheet name="Resumo" sheetId="19" r:id="rId1"/>
    <sheet name="1. Coleta Orgânica" sheetId="2" r:id="rId2"/>
    <sheet name="2. Coleta Seletiva " sheetId="51" r:id="rId3"/>
    <sheet name="3.Enc Sociais" sheetId="8" r:id="rId4"/>
    <sheet name="4.BDI" sheetId="4" r:id="rId5"/>
    <sheet name="5. Ton" sheetId="47" r:id="rId6"/>
    <sheet name="6. Roteiros" sheetId="49" r:id="rId7"/>
    <sheet name="7. Horários" sheetId="52" r:id="rId8"/>
    <sheet name="8. Depr" sheetId="6" r:id="rId9"/>
    <sheet name="9. Rem capital" sheetId="7" r:id="rId10"/>
    <sheet name="10. Dimens" sheetId="9" r:id="rId11"/>
  </sheets>
  <definedNames>
    <definedName name="_LO25" localSheetId="2">#REF!</definedName>
    <definedName name="_LO25" localSheetId="6">#REF!</definedName>
    <definedName name="_LO25">#REF!</definedName>
    <definedName name="AbaDeprec" localSheetId="5">#REF!</definedName>
    <definedName name="AbaDeprec" localSheetId="6">#REF!</definedName>
    <definedName name="AbaDeprec">'8. Depr'!$A$1</definedName>
    <definedName name="AbaRemun" localSheetId="5">#REF!</definedName>
    <definedName name="AbaRemun" localSheetId="6">#REF!</definedName>
    <definedName name="AbaRemun" localSheetId="7">#REF!</definedName>
    <definedName name="AbaRemun" localSheetId="0">#REF!</definedName>
    <definedName name="AbaRemun">'9. Rem capital'!$A$1</definedName>
    <definedName name="_xlnm.Print_Area" localSheetId="1">'1. Coleta Orgânica'!$A$1:$F$289</definedName>
    <definedName name="_xlnm.Print_Area" localSheetId="2">'2. Coleta Seletiva '!$A$1:$F$293</definedName>
    <definedName name="_xlnm.Print_Area" localSheetId="3">'3.Enc Sociais'!$A$1:$C$40</definedName>
    <definedName name="_xlnm.Print_Area" localSheetId="6">'6. Roteiros'!$A$2:$F$39,'6. Roteiros'!$H$2:$M$37,'6. Roteiros'!$O$2:$T$29,'6. Roteiros'!$V$2:$AB$28</definedName>
    <definedName name="Horário" localSheetId="2">#REF!</definedName>
    <definedName name="Horário" localSheetId="6">#REF!</definedName>
    <definedName name="Horário">#REF!</definedName>
    <definedName name="_xlnm.Print_Titles" localSheetId="1">'1. Coleta Orgânica'!$1:$8</definedName>
    <definedName name="_xlnm.Print_Titles" localSheetId="2">'2. Coleta Seletiva '!$1:$8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9" i="49" l="1"/>
  <c r="E176" i="51" l="1"/>
  <c r="C119" i="2" l="1"/>
  <c r="D115" i="51"/>
  <c r="D114" i="51"/>
  <c r="E86" i="2"/>
  <c r="E87" i="51"/>
  <c r="E127" i="2" l="1"/>
  <c r="C261" i="2" l="1"/>
  <c r="L34" i="49" l="1"/>
  <c r="J35" i="52" l="1"/>
  <c r="K35" i="52" s="1"/>
  <c r="S29" i="49" l="1"/>
  <c r="C13" i="9" l="1"/>
  <c r="C22" i="9"/>
  <c r="E261" i="2" l="1"/>
  <c r="A44" i="2"/>
  <c r="H4" i="52" l="1"/>
  <c r="C273" i="51" l="1"/>
  <c r="C184" i="51" l="1"/>
  <c r="C127" i="51" l="1"/>
  <c r="K43" i="52" l="1"/>
  <c r="J38" i="52"/>
  <c r="K38" i="52" s="1"/>
  <c r="H34" i="52"/>
  <c r="I34" i="52" s="1"/>
  <c r="H37" i="52"/>
  <c r="H40" i="52" s="1"/>
  <c r="I40" i="52" s="1"/>
  <c r="J4" i="52"/>
  <c r="H3" i="52"/>
  <c r="J3" i="52" s="1"/>
  <c r="L33" i="49"/>
  <c r="L24" i="49"/>
  <c r="E34" i="49"/>
  <c r="E25" i="49"/>
  <c r="E264" i="51"/>
  <c r="E263" i="51"/>
  <c r="Y23" i="49"/>
  <c r="Y25" i="49"/>
  <c r="I37" i="52" l="1"/>
  <c r="J41" i="52"/>
  <c r="K41" i="52" s="1"/>
  <c r="K44" i="52" s="1"/>
  <c r="J44" i="52"/>
  <c r="J46" i="52" s="1"/>
  <c r="J47" i="52" s="1"/>
  <c r="H44" i="52"/>
  <c r="H46" i="52" s="1"/>
  <c r="H47" i="52" s="1"/>
  <c r="I44" i="52"/>
  <c r="I46" i="52" s="1"/>
  <c r="I47" i="52" s="1"/>
  <c r="C107" i="51"/>
  <c r="K46" i="52" l="1"/>
  <c r="K47" i="52" s="1"/>
  <c r="E260" i="2"/>
  <c r="E259" i="2"/>
  <c r="C258" i="2" l="1"/>
  <c r="F11" i="52" l="1"/>
  <c r="F14" i="52" s="1"/>
  <c r="F16" i="52" s="1"/>
  <c r="F18" i="52" s="1"/>
  <c r="F23" i="52"/>
  <c r="F26" i="52" s="1"/>
  <c r="F28" i="52" s="1"/>
  <c r="F30" i="52" s="1"/>
  <c r="F49" i="52"/>
  <c r="F52" i="52" s="1"/>
  <c r="F54" i="52" s="1"/>
  <c r="F56" i="52" s="1"/>
  <c r="B52" i="51" s="1"/>
  <c r="F61" i="52"/>
  <c r="F64" i="52" s="1"/>
  <c r="F66" i="52" s="1"/>
  <c r="F68" i="52" s="1"/>
  <c r="E108" i="51" s="1"/>
  <c r="H68" i="52" l="1"/>
  <c r="E107" i="2"/>
  <c r="E163" i="2" s="1"/>
  <c r="B51" i="2"/>
  <c r="H56" i="52"/>
  <c r="Y24" i="49"/>
  <c r="L17" i="49"/>
  <c r="L15" i="49"/>
  <c r="E15" i="49"/>
  <c r="S19" i="49"/>
  <c r="L18" i="49" l="1"/>
  <c r="E19" i="49"/>
  <c r="L37" i="49"/>
  <c r="E26" i="49"/>
  <c r="AA22" i="49" l="1"/>
  <c r="AA25" i="49"/>
  <c r="D189" i="51" l="1"/>
  <c r="C120" i="51" l="1"/>
  <c r="C113" i="2" l="1"/>
  <c r="C71" i="51" l="1"/>
  <c r="C275" i="51"/>
  <c r="E275" i="51" s="1"/>
  <c r="D276" i="51" s="1"/>
  <c r="E276" i="51" s="1"/>
  <c r="E273" i="51"/>
  <c r="D274" i="51" s="1"/>
  <c r="E274" i="51" s="1"/>
  <c r="E267" i="51"/>
  <c r="E266" i="51"/>
  <c r="E265" i="51"/>
  <c r="E262" i="51"/>
  <c r="E261" i="51"/>
  <c r="E260" i="51"/>
  <c r="E259" i="51"/>
  <c r="E258" i="51"/>
  <c r="E251" i="51"/>
  <c r="E250" i="51"/>
  <c r="E249" i="51"/>
  <c r="C239" i="51"/>
  <c r="E239" i="51" s="1"/>
  <c r="E237" i="51"/>
  <c r="D226" i="51"/>
  <c r="D224" i="51"/>
  <c r="D222" i="51"/>
  <c r="D220" i="51"/>
  <c r="D218" i="51"/>
  <c r="D216" i="51"/>
  <c r="C208" i="51"/>
  <c r="E208" i="51" s="1"/>
  <c r="C207" i="51"/>
  <c r="E207" i="51" s="1"/>
  <c r="C206" i="51"/>
  <c r="C201" i="51"/>
  <c r="C195" i="51"/>
  <c r="D194" i="51"/>
  <c r="E189" i="51"/>
  <c r="C181" i="51"/>
  <c r="C180" i="51"/>
  <c r="D182" i="51" s="1"/>
  <c r="C177" i="51"/>
  <c r="C194" i="51" s="1"/>
  <c r="C176" i="51"/>
  <c r="C175" i="51"/>
  <c r="E172" i="51"/>
  <c r="D162" i="51"/>
  <c r="C162" i="51"/>
  <c r="D161" i="51"/>
  <c r="C161" i="51"/>
  <c r="D160" i="51"/>
  <c r="C160" i="51"/>
  <c r="A160" i="51"/>
  <c r="D159" i="51"/>
  <c r="C159" i="51"/>
  <c r="D158" i="51"/>
  <c r="C158" i="51"/>
  <c r="D157" i="51"/>
  <c r="C157" i="51"/>
  <c r="E151" i="51"/>
  <c r="E150" i="51"/>
  <c r="E149" i="51"/>
  <c r="E148" i="51"/>
  <c r="E147" i="51"/>
  <c r="E146" i="51"/>
  <c r="E145" i="51"/>
  <c r="E144" i="51"/>
  <c r="E143" i="51"/>
  <c r="E142" i="51"/>
  <c r="E141" i="51"/>
  <c r="E140" i="51"/>
  <c r="A127" i="51"/>
  <c r="D122" i="51"/>
  <c r="E122" i="51" s="1"/>
  <c r="D120" i="51"/>
  <c r="A120" i="51"/>
  <c r="C115" i="51"/>
  <c r="D103" i="51"/>
  <c r="E103" i="51" s="1"/>
  <c r="D100" i="51"/>
  <c r="C100" i="51"/>
  <c r="D98" i="51"/>
  <c r="E98" i="51" s="1"/>
  <c r="D97" i="51"/>
  <c r="C97" i="51"/>
  <c r="D95" i="51"/>
  <c r="E95" i="51" s="1"/>
  <c r="D94" i="51"/>
  <c r="E94" i="51" s="1"/>
  <c r="C94" i="51"/>
  <c r="E91" i="51"/>
  <c r="D79" i="51"/>
  <c r="E79" i="51" s="1"/>
  <c r="D78" i="51"/>
  <c r="E78" i="51" s="1"/>
  <c r="E76" i="51"/>
  <c r="D65" i="51"/>
  <c r="C65" i="51"/>
  <c r="D63" i="51"/>
  <c r="E63" i="51" s="1"/>
  <c r="D62" i="51"/>
  <c r="C62" i="51"/>
  <c r="D60" i="51"/>
  <c r="E60" i="51" s="1"/>
  <c r="D59" i="51"/>
  <c r="E59" i="51" s="1"/>
  <c r="C59" i="51"/>
  <c r="E57" i="51"/>
  <c r="A49" i="51"/>
  <c r="C163" i="51"/>
  <c r="A45" i="51"/>
  <c r="E44" i="51"/>
  <c r="E127" i="51" s="1"/>
  <c r="A44" i="51"/>
  <c r="A43" i="51"/>
  <c r="A37" i="51"/>
  <c r="A36" i="51"/>
  <c r="A35" i="51"/>
  <c r="A34" i="51"/>
  <c r="A33" i="51"/>
  <c r="A32" i="51"/>
  <c r="A31" i="51"/>
  <c r="A30" i="51"/>
  <c r="A29" i="51"/>
  <c r="A28" i="51"/>
  <c r="A27" i="51"/>
  <c r="A26" i="51"/>
  <c r="A25" i="51"/>
  <c r="A24" i="51"/>
  <c r="A23" i="51"/>
  <c r="A22" i="51"/>
  <c r="A21" i="51"/>
  <c r="A20" i="51"/>
  <c r="A19" i="51"/>
  <c r="A18" i="51"/>
  <c r="A17" i="51"/>
  <c r="D227" i="51" l="1"/>
  <c r="C191" i="51"/>
  <c r="D206" i="51" s="1"/>
  <c r="E206" i="51" s="1"/>
  <c r="D209" i="51" s="1"/>
  <c r="E209" i="51" s="1"/>
  <c r="E115" i="51"/>
  <c r="C114" i="51"/>
  <c r="E114" i="51" s="1"/>
  <c r="C152" i="51"/>
  <c r="E46" i="51"/>
  <c r="E161" i="51"/>
  <c r="E97" i="51"/>
  <c r="E158" i="51"/>
  <c r="D240" i="51"/>
  <c r="E240" i="51" s="1"/>
  <c r="D241" i="51" s="1"/>
  <c r="E65" i="51"/>
  <c r="E162" i="51"/>
  <c r="F252" i="51"/>
  <c r="F254" i="51" s="1"/>
  <c r="E34" i="51" s="1"/>
  <c r="E100" i="51"/>
  <c r="E157" i="51"/>
  <c r="E177" i="51"/>
  <c r="D180" i="51" s="1"/>
  <c r="E180" i="51" s="1"/>
  <c r="D181" i="51" s="1"/>
  <c r="E181" i="51" s="1"/>
  <c r="D152" i="51"/>
  <c r="C132" i="51"/>
  <c r="E132" i="51" s="1"/>
  <c r="E159" i="51"/>
  <c r="E160" i="51"/>
  <c r="E62" i="51"/>
  <c r="F268" i="51"/>
  <c r="E35" i="51" s="1"/>
  <c r="E194" i="51"/>
  <c r="C121" i="51"/>
  <c r="E121" i="51" s="1"/>
  <c r="D175" i="51"/>
  <c r="E175" i="51" s="1"/>
  <c r="D80" i="51"/>
  <c r="E80" i="51" s="1"/>
  <c r="D82" i="51" s="1"/>
  <c r="E82" i="51" s="1"/>
  <c r="E120" i="51"/>
  <c r="F116" i="51" l="1"/>
  <c r="E21" i="51" s="1"/>
  <c r="F123" i="51"/>
  <c r="E22" i="51" s="1"/>
  <c r="D163" i="51"/>
  <c r="E163" i="51" s="1"/>
  <c r="D66" i="51"/>
  <c r="E66" i="51" s="1"/>
  <c r="D101" i="51"/>
  <c r="E101" i="51" s="1"/>
  <c r="E104" i="51" s="1"/>
  <c r="D105" i="51" s="1"/>
  <c r="C196" i="51"/>
  <c r="C197" i="51" s="1"/>
  <c r="D198" i="51" s="1"/>
  <c r="E198" i="51" s="1"/>
  <c r="E152" i="51"/>
  <c r="D67" i="51"/>
  <c r="E67" i="51" s="1"/>
  <c r="E68" i="51" s="1"/>
  <c r="D69" i="51" s="1"/>
  <c r="D176" i="51"/>
  <c r="C192" i="51"/>
  <c r="D193" i="51" s="1"/>
  <c r="E193" i="51" s="1"/>
  <c r="E83" i="51"/>
  <c r="D84" i="51" l="1"/>
  <c r="E199" i="51"/>
  <c r="E200" i="51" s="1"/>
  <c r="D201" i="51" s="1"/>
  <c r="E201" i="51" s="1"/>
  <c r="E182" i="51"/>
  <c r="E183" i="51" s="1"/>
  <c r="D184" i="51" s="1"/>
  <c r="E184" i="51" s="1"/>
  <c r="S26" i="49" l="1"/>
  <c r="AA23" i="49" s="1"/>
  <c r="E258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D121" i="2" l="1"/>
  <c r="D119" i="2"/>
  <c r="AI6" i="49" l="1"/>
  <c r="AI10" i="49" s="1"/>
  <c r="E35" i="49" l="1"/>
  <c r="E38" i="49" s="1"/>
  <c r="L25" i="49"/>
  <c r="L28" i="49" s="1"/>
  <c r="E29" i="49"/>
  <c r="AA7" i="49" l="1"/>
  <c r="AA19" i="49"/>
  <c r="AA10" i="49"/>
  <c r="AA21" i="49"/>
  <c r="AA8" i="49"/>
  <c r="AA24" i="49"/>
  <c r="AA20" i="49"/>
  <c r="AA27" i="49"/>
  <c r="AA28" i="49" s="1"/>
  <c r="B213" i="51" s="1"/>
  <c r="C15" i="9"/>
  <c r="C18" i="9" s="1"/>
  <c r="C23" i="9" s="1"/>
  <c r="C25" i="9" s="1"/>
  <c r="AA12" i="49" l="1"/>
  <c r="AA13" i="49" s="1"/>
  <c r="B212" i="2" s="1"/>
  <c r="C241" i="51"/>
  <c r="E241" i="51" s="1"/>
  <c r="F242" i="51" s="1"/>
  <c r="E33" i="51" s="1"/>
  <c r="C216" i="51"/>
  <c r="C222" i="51" l="1"/>
  <c r="E222" i="51" s="1"/>
  <c r="C232" i="51"/>
  <c r="E232" i="51" s="1"/>
  <c r="F233" i="51" s="1"/>
  <c r="E32" i="51" s="1"/>
  <c r="C226" i="51"/>
  <c r="E226" i="51" s="1"/>
  <c r="C218" i="51"/>
  <c r="C220" i="51"/>
  <c r="E220" i="51" s="1"/>
  <c r="E216" i="51"/>
  <c r="E218" i="51" l="1"/>
  <c r="C224" i="51"/>
  <c r="E224" i="51" s="1"/>
  <c r="F228" i="51" l="1"/>
  <c r="E31" i="51" s="1"/>
  <c r="D102" i="2"/>
  <c r="C131" i="2"/>
  <c r="C114" i="2"/>
  <c r="A159" i="2" l="1"/>
  <c r="C20" i="47"/>
  <c r="C22" i="47" s="1"/>
  <c r="F133" i="51" l="1"/>
  <c r="E72" i="51"/>
  <c r="E153" i="51"/>
  <c r="F153" i="51" s="1"/>
  <c r="E24" i="51" l="1"/>
  <c r="E202" i="51"/>
  <c r="F185" i="51"/>
  <c r="E128" i="51"/>
  <c r="F128" i="51" s="1"/>
  <c r="E164" i="51"/>
  <c r="F164" i="51" s="1"/>
  <c r="F166" i="51" s="1"/>
  <c r="E25" i="51" s="1"/>
  <c r="E23" i="51" l="1"/>
  <c r="E28" i="51"/>
  <c r="E210" i="51"/>
  <c r="F202" i="51"/>
  <c r="E29" i="51" s="1"/>
  <c r="E277" i="51" l="1"/>
  <c r="F277" i="51" s="1"/>
  <c r="F279" i="51" s="1"/>
  <c r="E36" i="51" s="1"/>
  <c r="F210" i="51"/>
  <c r="E30" i="51" s="1"/>
  <c r="E27" i="51" s="1"/>
  <c r="F245" i="51" l="1"/>
  <c r="E26" i="51" s="1"/>
  <c r="C16" i="4" l="1"/>
  <c r="C269" i="2" l="1"/>
  <c r="A35" i="2" l="1"/>
  <c r="E262" i="2"/>
  <c r="E257" i="2"/>
  <c r="F263" i="2" l="1"/>
  <c r="E35" i="2" s="1"/>
  <c r="D223" i="2" l="1"/>
  <c r="A24" i="2" l="1"/>
  <c r="E131" i="2"/>
  <c r="A126" i="2" l="1"/>
  <c r="E121" i="2" l="1"/>
  <c r="C161" i="2" l="1"/>
  <c r="C160" i="2"/>
  <c r="C159" i="2"/>
  <c r="C158" i="2"/>
  <c r="C157" i="2"/>
  <c r="C156" i="2"/>
  <c r="E152" i="2" l="1"/>
  <c r="E201" i="2" l="1"/>
  <c r="E209" i="2" s="1"/>
  <c r="E271" i="2" s="1"/>
  <c r="C206" i="2" l="1"/>
  <c r="C205" i="2"/>
  <c r="C207" i="2"/>
  <c r="A37" i="2" l="1"/>
  <c r="A36" i="2"/>
  <c r="A34" i="2"/>
  <c r="A26" i="2"/>
  <c r="A25" i="2"/>
  <c r="A17" i="2"/>
  <c r="C16" i="9" l="1"/>
  <c r="C174" i="2"/>
  <c r="C179" i="2"/>
  <c r="D181" i="2" s="1"/>
  <c r="E44" i="2" l="1"/>
  <c r="E43" i="2"/>
  <c r="E42" i="2"/>
  <c r="E48" i="2"/>
  <c r="C120" i="2" l="1"/>
  <c r="C126" i="2"/>
  <c r="C151" i="2"/>
  <c r="E120" i="2"/>
  <c r="C162" i="2"/>
  <c r="C200" i="2"/>
  <c r="C194" i="2"/>
  <c r="D225" i="2"/>
  <c r="D221" i="2"/>
  <c r="D219" i="2"/>
  <c r="D217" i="2"/>
  <c r="D156" i="2" l="1"/>
  <c r="E156" i="2" s="1"/>
  <c r="D77" i="2" l="1"/>
  <c r="E77" i="2" s="1"/>
  <c r="C96" i="2"/>
  <c r="C99" i="2" l="1"/>
  <c r="D78" i="2"/>
  <c r="E78" i="2" s="1"/>
  <c r="D79" i="2" s="1"/>
  <c r="E79" i="2" s="1"/>
  <c r="C64" i="2"/>
  <c r="C61" i="2"/>
  <c r="A33" i="2" l="1"/>
  <c r="A32" i="2"/>
  <c r="A31" i="2"/>
  <c r="A30" i="2"/>
  <c r="A29" i="2"/>
  <c r="A28" i="2"/>
  <c r="A27" i="2"/>
  <c r="A23" i="2"/>
  <c r="A22" i="2"/>
  <c r="A21" i="2"/>
  <c r="A20" i="2"/>
  <c r="A19" i="2"/>
  <c r="A18" i="2"/>
  <c r="E71" i="2"/>
  <c r="E132" i="2" s="1"/>
  <c r="F132" i="2" s="1"/>
  <c r="E24" i="2" s="1"/>
  <c r="D188" i="2"/>
  <c r="C21" i="4"/>
  <c r="F14" i="4"/>
  <c r="E14" i="4"/>
  <c r="D14" i="4"/>
  <c r="C18" i="8"/>
  <c r="C93" i="2"/>
  <c r="D96" i="2"/>
  <c r="E96" i="2" s="1"/>
  <c r="E75" i="2"/>
  <c r="D114" i="2" s="1"/>
  <c r="C238" i="2"/>
  <c r="E238" i="2" s="1"/>
  <c r="D215" i="2"/>
  <c r="D226" i="2" s="1"/>
  <c r="E171" i="2"/>
  <c r="D193" i="2"/>
  <c r="C180" i="2"/>
  <c r="C175" i="2"/>
  <c r="C58" i="2"/>
  <c r="E269" i="2"/>
  <c r="D270" i="2" s="1"/>
  <c r="E270" i="2" s="1"/>
  <c r="C176" i="2"/>
  <c r="C193" i="2" s="1"/>
  <c r="A42" i="2"/>
  <c r="A43" i="2"/>
  <c r="A48" i="2"/>
  <c r="A119" i="2"/>
  <c r="D157" i="2"/>
  <c r="E157" i="2" s="1"/>
  <c r="D158" i="2"/>
  <c r="E158" i="2" s="1"/>
  <c r="D159" i="2"/>
  <c r="E159" i="2" s="1"/>
  <c r="D160" i="2"/>
  <c r="E160" i="2" s="1"/>
  <c r="D161" i="2"/>
  <c r="E161" i="2" s="1"/>
  <c r="E236" i="2"/>
  <c r="E207" i="2"/>
  <c r="E206" i="2"/>
  <c r="E248" i="2"/>
  <c r="E249" i="2"/>
  <c r="E250" i="2"/>
  <c r="C286" i="51" l="1"/>
  <c r="D81" i="2"/>
  <c r="E81" i="2" s="1"/>
  <c r="E82" i="2" s="1"/>
  <c r="E114" i="2" s="1"/>
  <c r="C279" i="2"/>
  <c r="D174" i="2"/>
  <c r="E174" i="2" s="1"/>
  <c r="D64" i="2"/>
  <c r="E64" i="2" s="1"/>
  <c r="D59" i="2"/>
  <c r="E59" i="2" s="1"/>
  <c r="E90" i="2"/>
  <c r="D94" i="2"/>
  <c r="E94" i="2" s="1"/>
  <c r="D97" i="2"/>
  <c r="E97" i="2" s="1"/>
  <c r="D99" i="2"/>
  <c r="E99" i="2" s="1"/>
  <c r="D93" i="2"/>
  <c r="E93" i="2" s="1"/>
  <c r="D62" i="2"/>
  <c r="E62" i="2" s="1"/>
  <c r="D61" i="2"/>
  <c r="E61" i="2" s="1"/>
  <c r="D58" i="2"/>
  <c r="E58" i="2" s="1"/>
  <c r="F251" i="2"/>
  <c r="F253" i="2" s="1"/>
  <c r="E34" i="2" s="1"/>
  <c r="E56" i="2"/>
  <c r="D113" i="2" s="1"/>
  <c r="E176" i="2"/>
  <c r="C195" i="2" s="1"/>
  <c r="D151" i="2"/>
  <c r="E119" i="2"/>
  <c r="F122" i="2" s="1"/>
  <c r="E45" i="2"/>
  <c r="E193" i="2"/>
  <c r="E126" i="2"/>
  <c r="E267" i="2"/>
  <c r="D268" i="2" s="1"/>
  <c r="E268" i="2" s="1"/>
  <c r="F271" i="2" s="1"/>
  <c r="E188" i="2"/>
  <c r="D239" i="2"/>
  <c r="E239" i="2" s="1"/>
  <c r="D240" i="2" s="1"/>
  <c r="D162" i="2"/>
  <c r="F273" i="2" l="1"/>
  <c r="E36" i="2" s="1"/>
  <c r="C36" i="8"/>
  <c r="D175" i="2"/>
  <c r="E175" i="2" s="1"/>
  <c r="C190" i="2"/>
  <c r="D205" i="2" s="1"/>
  <c r="C26" i="8"/>
  <c r="C35" i="8" s="1"/>
  <c r="D65" i="2"/>
  <c r="E65" i="2" s="1"/>
  <c r="D66" i="2" s="1"/>
  <c r="E66" i="2" s="1"/>
  <c r="D100" i="2"/>
  <c r="E100" i="2" s="1"/>
  <c r="E22" i="2"/>
  <c r="F127" i="2"/>
  <c r="E162" i="2"/>
  <c r="F163" i="2" s="1"/>
  <c r="E151" i="2"/>
  <c r="F152" i="2" s="1"/>
  <c r="D179" i="2"/>
  <c r="E179" i="2" s="1"/>
  <c r="D180" i="2" s="1"/>
  <c r="E180" i="2" s="1"/>
  <c r="D83" i="2"/>
  <c r="E181" i="2" l="1"/>
  <c r="E182" i="2" s="1"/>
  <c r="D183" i="2" s="1"/>
  <c r="E183" i="2" s="1"/>
  <c r="F184" i="2" s="1"/>
  <c r="E28" i="2" s="1"/>
  <c r="E102" i="2"/>
  <c r="E103" i="2" s="1"/>
  <c r="D104" i="2" s="1"/>
  <c r="E113" i="2"/>
  <c r="F115" i="2" s="1"/>
  <c r="C191" i="2"/>
  <c r="E205" i="2"/>
  <c r="D208" i="2" s="1"/>
  <c r="E208" i="2" s="1"/>
  <c r="F209" i="2" s="1"/>
  <c r="E30" i="2" s="1"/>
  <c r="E23" i="2"/>
  <c r="C30" i="8"/>
  <c r="C33" i="8" s="1"/>
  <c r="C37" i="8"/>
  <c r="C196" i="2"/>
  <c r="F165" i="2"/>
  <c r="E25" i="2" s="1"/>
  <c r="E67" i="2"/>
  <c r="E21" i="2" l="1"/>
  <c r="D192" i="2"/>
  <c r="E192" i="2" s="1"/>
  <c r="D197" i="2"/>
  <c r="E197" i="2" s="1"/>
  <c r="C38" i="8"/>
  <c r="D68" i="2"/>
  <c r="C84" i="51" l="1"/>
  <c r="E84" i="51" s="1"/>
  <c r="E85" i="51" s="1"/>
  <c r="D86" i="51" s="1"/>
  <c r="E86" i="51" s="1"/>
  <c r="F87" i="51" s="1"/>
  <c r="E19" i="51" s="1"/>
  <c r="C69" i="51"/>
  <c r="E69" i="51" s="1"/>
  <c r="E70" i="51" s="1"/>
  <c r="D71" i="51" s="1"/>
  <c r="E71" i="51" s="1"/>
  <c r="F72" i="51" s="1"/>
  <c r="E18" i="51" s="1"/>
  <c r="C105" i="51"/>
  <c r="E105" i="51" s="1"/>
  <c r="E106" i="51" s="1"/>
  <c r="D107" i="51" s="1"/>
  <c r="E107" i="51" s="1"/>
  <c r="F108" i="51" s="1"/>
  <c r="E198" i="2"/>
  <c r="E199" i="2" s="1"/>
  <c r="D200" i="2" s="1"/>
  <c r="E200" i="2" s="1"/>
  <c r="F201" i="2" s="1"/>
  <c r="E29" i="2" s="1"/>
  <c r="C83" i="2"/>
  <c r="E83" i="2" s="1"/>
  <c r="E84" i="2" s="1"/>
  <c r="D85" i="2" s="1"/>
  <c r="E85" i="2" s="1"/>
  <c r="F86" i="2" s="1"/>
  <c r="C68" i="2"/>
  <c r="E68" i="2" s="1"/>
  <c r="E69" i="2" s="1"/>
  <c r="D70" i="2" s="1"/>
  <c r="E70" i="2" s="1"/>
  <c r="F71" i="2" s="1"/>
  <c r="E18" i="2" s="1"/>
  <c r="C104" i="2"/>
  <c r="E104" i="2" s="1"/>
  <c r="E105" i="2" s="1"/>
  <c r="D106" i="2" s="1"/>
  <c r="E106" i="2" s="1"/>
  <c r="F107" i="2" s="1"/>
  <c r="F135" i="51" l="1"/>
  <c r="F134" i="2"/>
  <c r="E20" i="51"/>
  <c r="E19" i="2"/>
  <c r="E20" i="2"/>
  <c r="E17" i="51" l="1"/>
  <c r="F281" i="51"/>
  <c r="E17" i="2"/>
  <c r="D286" i="51" l="1"/>
  <c r="E286" i="51" s="1"/>
  <c r="F287" i="51" s="1"/>
  <c r="F289" i="51" s="1"/>
  <c r="E37" i="51" s="1"/>
  <c r="F292" i="51" l="1"/>
  <c r="E38" i="51"/>
  <c r="F35" i="51" l="1"/>
  <c r="F21" i="51"/>
  <c r="F34" i="51"/>
  <c r="F22" i="51"/>
  <c r="F33" i="51"/>
  <c r="F32" i="51"/>
  <c r="F31" i="51"/>
  <c r="F24" i="51"/>
  <c r="F25" i="51"/>
  <c r="F28" i="51"/>
  <c r="F29" i="51"/>
  <c r="F23" i="51"/>
  <c r="F26" i="51"/>
  <c r="F27" i="51"/>
  <c r="F30" i="51"/>
  <c r="F36" i="51"/>
  <c r="F19" i="51"/>
  <c r="F18" i="51"/>
  <c r="F20" i="51"/>
  <c r="F17" i="51"/>
  <c r="C5" i="19"/>
  <c r="F37" i="51"/>
  <c r="C215" i="2"/>
  <c r="C240" i="2"/>
  <c r="E240" i="2" s="1"/>
  <c r="F241" i="2" s="1"/>
  <c r="E33" i="2" s="1"/>
  <c r="F38" i="51" l="1"/>
  <c r="C221" i="2"/>
  <c r="E221" i="2" s="1"/>
  <c r="C217" i="2"/>
  <c r="C225" i="2"/>
  <c r="E225" i="2" s="1"/>
  <c r="C231" i="2"/>
  <c r="E231" i="2" s="1"/>
  <c r="F232" i="2" s="1"/>
  <c r="E32" i="2" s="1"/>
  <c r="C219" i="2"/>
  <c r="E219" i="2" s="1"/>
  <c r="E215" i="2"/>
  <c r="E217" i="2" l="1"/>
  <c r="C223" i="2"/>
  <c r="E223" i="2" s="1"/>
  <c r="F227" i="2" l="1"/>
  <c r="E31" i="2" l="1"/>
  <c r="E27" i="2" s="1"/>
  <c r="F244" i="2"/>
  <c r="F275" i="2" l="1"/>
  <c r="D279" i="2" s="1"/>
  <c r="E279" i="2" s="1"/>
  <c r="F280" i="2" s="1"/>
  <c r="F282" i="2" s="1"/>
  <c r="E26" i="2"/>
  <c r="E37" i="2" l="1"/>
  <c r="E38" i="2" s="1"/>
  <c r="F20" i="2" s="1"/>
  <c r="F284" i="2"/>
  <c r="C4" i="19" s="1"/>
  <c r="F28" i="2" l="1"/>
  <c r="F17" i="2"/>
  <c r="F30" i="2"/>
  <c r="F27" i="2"/>
  <c r="F26" i="2"/>
  <c r="F35" i="2"/>
  <c r="F21" i="2"/>
  <c r="F18" i="2"/>
  <c r="F19" i="2"/>
  <c r="F34" i="2"/>
  <c r="F33" i="2"/>
  <c r="F23" i="2"/>
  <c r="F36" i="2"/>
  <c r="F24" i="2"/>
  <c r="F25" i="2"/>
  <c r="F29" i="2"/>
  <c r="F31" i="2"/>
  <c r="F22" i="2"/>
  <c r="F37" i="2"/>
  <c r="F32" i="2"/>
  <c r="F38" i="2" l="1"/>
  <c r="C7" i="19"/>
</calcChain>
</file>

<file path=xl/sharedStrings.xml><?xml version="1.0" encoding="utf-8"?>
<sst xmlns="http://schemas.openxmlformats.org/spreadsheetml/2006/main" count="1412" uniqueCount="469">
  <si>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</si>
  <si>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</si>
  <si>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</si>
  <si>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</si>
  <si>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</si>
  <si>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</si>
  <si>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</si>
  <si>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</si>
  <si>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</si>
  <si>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</si>
  <si>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</si>
  <si>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</si>
  <si>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</si>
  <si>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</si>
  <si>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</si>
  <si>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</si>
  <si>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</si>
  <si>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</si>
  <si>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</si>
  <si>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</si>
  <si>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</si>
  <si>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</si>
  <si>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</si>
  <si>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</si>
  <si>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</si>
  <si>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</si>
  <si>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</si>
  <si>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Pá de Concha</t>
  </si>
  <si>
    <t>Vassoura</t>
  </si>
  <si>
    <t>Calça</t>
  </si>
  <si>
    <t>Camiseta</t>
  </si>
  <si>
    <t>Boné</t>
  </si>
  <si>
    <t>Luva de proteção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</si>
  <si>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</si>
  <si>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</si>
  <si>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</si>
  <si>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</si>
  <si>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</si>
  <si>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</si>
  <si>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</si>
  <si>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</si>
  <si>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</si>
  <si>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</si>
  <si>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</si>
  <si>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</si>
  <si>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</si>
  <si>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</si>
  <si>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</si>
  <si>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</si>
  <si>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</si>
  <si>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</si>
  <si>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</si>
  <si>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</si>
  <si>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</si>
  <si>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</si>
  <si>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</si>
  <si>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</si>
  <si>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cj</t>
  </si>
  <si>
    <t>Total de mão-de-obra (postos de trabalho)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</si>
  <si>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</si>
  <si>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</si>
  <si>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</si>
  <si>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</si>
  <si>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</si>
  <si>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</si>
  <si>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</si>
  <si>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</si>
  <si>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</si>
  <si>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Custo de recapagem</t>
  </si>
  <si>
    <t>Recipiente térmico para água (5L)</t>
  </si>
  <si>
    <t>Total por Coletor</t>
  </si>
  <si>
    <t>Coletor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</si>
  <si>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</si>
  <si>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</si>
  <si>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</si>
  <si>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</si>
  <si>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</si>
  <si>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</si>
  <si>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</si>
  <si>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</si>
  <si>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</si>
  <si>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</si>
  <si>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Fórmula para o cálculo do BDI:</t>
  </si>
  <si>
    <t>{[(1+AC+SRG) x (1+L) x (1+DF)] / (1-T)} -1</t>
  </si>
  <si>
    <t>Resultado do cálculo do BDI:</t>
  </si>
  <si>
    <t>Vale Transporte</t>
  </si>
  <si>
    <t>Dias Trabalhados por mês</t>
  </si>
  <si>
    <t>dia</t>
  </si>
  <si>
    <t>Custo Mensal com Mão-de-obra (R$/mês)</t>
  </si>
  <si>
    <t>Meia de algodão com cano alto</t>
  </si>
  <si>
    <r>
      <t xml:space="preserve">Custo jg. compl. + </t>
    </r>
    <r>
      <rPr>
        <sz val="10"/>
        <color indexed="10"/>
        <rFont val="Arial"/>
        <family val="2"/>
      </rPr>
      <t>X</t>
    </r>
    <r>
      <rPr>
        <sz val="10"/>
        <rFont val="Arial"/>
        <family val="2"/>
      </rPr>
      <t xml:space="preserve"> recap./ km rodado</t>
    </r>
  </si>
  <si>
    <t>Quantitativos</t>
  </si>
  <si>
    <t>horas trabalhadas</t>
  </si>
  <si>
    <t>Horas Extras Noturnas (100%)</t>
  </si>
  <si>
    <t>hora contabilizada</t>
  </si>
  <si>
    <t>Vida útil do chassis</t>
  </si>
  <si>
    <t>anos</t>
  </si>
  <si>
    <t>Depreciação do chassis</t>
  </si>
  <si>
    <t>Custo de aquisição do chassis</t>
  </si>
  <si>
    <t>i = taxa de juros do mercado (sugere-se adotar a taxa SELIC)</t>
  </si>
  <si>
    <t>n = vida útil do bem em anos</t>
  </si>
  <si>
    <t>Custo do chassis</t>
  </si>
  <si>
    <t>3.1.2. Remuneração do Capital</t>
  </si>
  <si>
    <t>Im = investimento médio</t>
  </si>
  <si>
    <t>Investimento médio total do chassis</t>
  </si>
  <si>
    <t>Remuneração mensal de capital do chassis</t>
  </si>
  <si>
    <t>Custo de manutenção dos caminhões</t>
  </si>
  <si>
    <t>Quilometragem mensal</t>
  </si>
  <si>
    <t>R$/km rodado</t>
  </si>
  <si>
    <t>Número de recapagens por pneu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</si>
  <si>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</si>
  <si>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</si>
  <si>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</si>
  <si>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</si>
  <si>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</si>
  <si>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</si>
  <si>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</si>
  <si>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</si>
  <si>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</si>
  <si>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</si>
  <si>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</si>
  <si>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</si>
  <si>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</si>
  <si>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</si>
  <si>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</si>
  <si>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</si>
  <si>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</si>
  <si>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</si>
  <si>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</si>
  <si>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</si>
  <si>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</si>
  <si>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</si>
  <si>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</si>
  <si>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</si>
  <si>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</si>
  <si>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</si>
  <si>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</si>
  <si>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</si>
  <si>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</si>
  <si>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</si>
  <si>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</si>
  <si>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</si>
  <si>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</si>
  <si>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</si>
  <si>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</si>
  <si>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</si>
  <si>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</si>
  <si>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</si>
  <si>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</si>
  <si>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</si>
  <si>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</si>
  <si>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</si>
  <si>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</si>
  <si>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</si>
  <si>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</si>
  <si>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</si>
  <si>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</si>
  <si>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</si>
  <si>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</si>
  <si>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</si>
  <si>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</si>
  <si>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</si>
  <si>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</si>
  <si>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</si>
  <si>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</si>
  <si>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</si>
  <si>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</si>
  <si>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</si>
  <si>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</si>
  <si>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</si>
  <si>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</si>
  <si>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</si>
  <si>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</si>
  <si>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Idade do veículo (ano)</t>
  </si>
  <si>
    <t>Idade do veículo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</si>
  <si>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</si>
  <si>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</si>
  <si>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</si>
  <si>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</si>
  <si>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</si>
  <si>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Horas Extras Noturnas (50%)</t>
  </si>
  <si>
    <t>Descanso Semanal Remunerado (DSR) - hora extra</t>
  </si>
  <si>
    <t>C2</t>
  </si>
  <si>
    <t>B3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</si>
  <si>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</si>
  <si>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</si>
  <si>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</si>
  <si>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</si>
  <si>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</si>
  <si>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</si>
  <si>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</si>
  <si>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</si>
  <si>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</si>
  <si>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</si>
  <si>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</si>
  <si>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</si>
  <si>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</si>
  <si>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</si>
  <si>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</si>
  <si>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</si>
  <si>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Referência estudo TCE</t>
  </si>
  <si>
    <t>1. Preencha previamente os dados de entrada na planilha 3.CAGED</t>
  </si>
  <si>
    <t>1. Esta planilha é somente um modelo-base e deve ser ajustada conforme cada caso concreto.</t>
  </si>
  <si>
    <t>Fórmula de cálculo da remuneração de capital:</t>
  </si>
  <si>
    <t>Durabilidade (meses)</t>
  </si>
  <si>
    <t>Custo com consumos/km rodado</t>
  </si>
  <si>
    <t>Consumo</t>
  </si>
  <si>
    <t>Total por veículo</t>
  </si>
  <si>
    <t>Total da frota</t>
  </si>
  <si>
    <t>1. Esta planilha é somente um modelo de cálculo expedito e deve ser ajustada conforme cada caso concreto.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</si>
  <si>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</si>
  <si>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</si>
  <si>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</si>
  <si>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</si>
  <si>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</si>
  <si>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</si>
  <si>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</si>
  <si>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</si>
  <si>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Geração per capita (G)</t>
  </si>
  <si>
    <t>Geração total diária (Qd)</t>
  </si>
  <si>
    <t>Quantitativo diário de coleta (Qc)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</si>
  <si>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</si>
  <si>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</si>
  <si>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</si>
  <si>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</si>
  <si>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</si>
  <si>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</si>
  <si>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Indicador</t>
  </si>
  <si>
    <t>Número total de percursos de coleta por veículo, por dia (Np)</t>
  </si>
  <si>
    <t>i</t>
  </si>
  <si>
    <t>3. Preencher somente células em amarelo</t>
  </si>
  <si>
    <t>Depreciação Média</t>
  </si>
  <si>
    <t>2. Dimensionar separadamente setores atendidos por veículos de capacidade de carga diferentes.</t>
  </si>
  <si>
    <t xml:space="preserve">1. Esta planilha é somente um modelo-base, devendo ser adaptada para cada caso concreto. </t>
  </si>
  <si>
    <t>Qualquer custo previsto no edital e não contemplado nesta planilha deverá ser devidamente incluído.</t>
  </si>
  <si>
    <t>4. As células azuis deverão ter seus valores preenchidos em outra planilha do arquivo.</t>
  </si>
  <si>
    <t>2. Antes de preenchê-la, leia a Orientação Técnica - Serviço de coleta de resíduos sólidos domiciliares</t>
  </si>
  <si>
    <t>Reincidência de FGTS sobre aviso prévio indenizado</t>
  </si>
  <si>
    <t>O orçamento deve ser realizado por responsável técnico habilitado e é de responsabilidade do seu autor.</t>
  </si>
  <si>
    <t>Piso da categoria (2)</t>
  </si>
  <si>
    <t>Salário mínimo nacional (1)</t>
  </si>
  <si>
    <t>O TCE/RS não se responsabiliza pelo uso incorreto desta planilha.</t>
  </si>
  <si>
    <t xml:space="preserve">O orçamento deve ser realizado por responsável técnico habilitado e é de </t>
  </si>
  <si>
    <t>responsabilidade do seu autor.</t>
  </si>
  <si>
    <t>realizada nos últimos 12 meses</t>
  </si>
  <si>
    <t xml:space="preserve"> todos os turnos de trabalho.</t>
  </si>
  <si>
    <t>Obs:</t>
  </si>
  <si>
    <t>&gt; Informar a população do município a ser atendida</t>
  </si>
  <si>
    <t xml:space="preserve">&gt; Caso o município possua informações de pesagem, ajustar com o valor da geração média per capita </t>
  </si>
  <si>
    <t>&gt; Informe o número de dias de coleta por semana</t>
  </si>
  <si>
    <t xml:space="preserve">&gt; Informar 1 para caminhão toco; Informar 2 para caminhão truck </t>
  </si>
  <si>
    <t>&gt; Informar a capacidade do compactador em m³</t>
  </si>
  <si>
    <t>&gt; Informar o número de percursos de coleta (cargas) que cada caminhão realiza por dia, considerando</t>
  </si>
  <si>
    <t xml:space="preserve">O orçamento deve ser realizado por responsável técnico habilitado e é </t>
  </si>
  <si>
    <t>de responsabilidade do seu autor.</t>
  </si>
  <si>
    <t xml:space="preserve">O orçamento deve ser realizado por responsável técnico habilitado e </t>
  </si>
  <si>
    <t>é de responsabilidade do seu autor.</t>
  </si>
  <si>
    <t xml:space="preserve">Ordem </t>
  </si>
  <si>
    <t xml:space="preserve">Nr. Func. </t>
  </si>
  <si>
    <t xml:space="preserve">Cargo </t>
  </si>
  <si>
    <t xml:space="preserve">Dias </t>
  </si>
  <si>
    <t>Saída</t>
  </si>
  <si>
    <t xml:space="preserve">Total de horas por coletor </t>
  </si>
  <si>
    <t xml:space="preserve">Total de dias por semana </t>
  </si>
  <si>
    <t xml:space="preserve">Total de horas por semana </t>
  </si>
  <si>
    <t xml:space="preserve">Dias úteis semana </t>
  </si>
  <si>
    <t>Total de dias com (DSR) Descanso Semanal Remunerado</t>
  </si>
  <si>
    <t>Total de horas/dia com (DSR)</t>
  </si>
  <si>
    <t xml:space="preserve">Total de dias no mês (30 dias) </t>
  </si>
  <si>
    <t>Total geral de horas mês com (DSR)</t>
  </si>
  <si>
    <t xml:space="preserve">Fator de utilização </t>
  </si>
  <si>
    <t>Distância</t>
  </si>
  <si>
    <t>Und.</t>
  </si>
  <si>
    <t>Cor Linha</t>
  </si>
  <si>
    <t>Ponto a Ponto</t>
  </si>
  <si>
    <t>m</t>
  </si>
  <si>
    <t>Trecho 01</t>
  </si>
  <si>
    <t>1 - 2</t>
  </si>
  <si>
    <t>Trecho 02</t>
  </si>
  <si>
    <t>2 - 3</t>
  </si>
  <si>
    <t>Trecho 03</t>
  </si>
  <si>
    <t>3 - 4</t>
  </si>
  <si>
    <t>Trecho 04</t>
  </si>
  <si>
    <t>4 - 5</t>
  </si>
  <si>
    <t>Trecho 05</t>
  </si>
  <si>
    <t>5 - 6</t>
  </si>
  <si>
    <t>Trecho 06</t>
  </si>
  <si>
    <t>6 - 7</t>
  </si>
  <si>
    <t>Trecho 07</t>
  </si>
  <si>
    <t>7 - 8</t>
  </si>
  <si>
    <t>Distância total da Rota:</t>
  </si>
  <si>
    <t>Dias da semana</t>
  </si>
  <si>
    <t>Trecho</t>
  </si>
  <si>
    <t>x</t>
  </si>
  <si>
    <t>Km</t>
  </si>
  <si>
    <t>Tributos - PIS/COFINS/ e CPP se houver</t>
  </si>
  <si>
    <t>3.1. Veículo Coletor com compactador</t>
  </si>
  <si>
    <t>Custo de aquisição do compactador</t>
  </si>
  <si>
    <t>Idade do chassis</t>
  </si>
  <si>
    <t>Depreciação mensal do chassis</t>
  </si>
  <si>
    <t>Encarregado</t>
  </si>
  <si>
    <t xml:space="preserve">Descrição </t>
  </si>
  <si>
    <t>Total Geral</t>
  </si>
  <si>
    <t>Publicidade (adesivos equipamentos e veículos)</t>
  </si>
  <si>
    <t xml:space="preserve">mês </t>
  </si>
  <si>
    <t xml:space="preserve">Publicidade/Educação ambiental </t>
  </si>
  <si>
    <t>Fator de util.</t>
  </si>
  <si>
    <t xml:space="preserve">Plano de Benefício Social </t>
  </si>
  <si>
    <t xml:space="preserve">Total dos percursos Orgânicos </t>
  </si>
  <si>
    <t>Rota</t>
  </si>
  <si>
    <t>Rota 1</t>
  </si>
  <si>
    <t>Distância total diária:</t>
  </si>
  <si>
    <t xml:space="preserve">Composição dos Encargos Sociais </t>
  </si>
  <si>
    <t>Composição do BDI - Benefícios e Despesas Indiretas</t>
  </si>
  <si>
    <t>Depreciação Referencial TCE/RS (%)</t>
  </si>
  <si>
    <t>Remuneração de Capital</t>
  </si>
  <si>
    <t>Dimensionamento da frota</t>
  </si>
  <si>
    <t xml:space="preserve">Custo do jogo de pneus </t>
  </si>
  <si>
    <t xml:space="preserve">Custo mensal com Arla </t>
  </si>
  <si>
    <t>Custo de arla (5% do consumo de Óleo Diesel)</t>
  </si>
  <si>
    <t xml:space="preserve">Investimento médio total </t>
  </si>
  <si>
    <t xml:space="preserve">Remuneração mensal de capital </t>
  </si>
  <si>
    <t xml:space="preserve">TOTAL MENSAL = ROTAS DE COLETA + TRANSPORTE </t>
  </si>
  <si>
    <t>Frota Reserva 10%</t>
  </si>
  <si>
    <t>Orgânica</t>
  </si>
  <si>
    <t>Seletiva</t>
  </si>
  <si>
    <t>Custo com despesas de água/luz/fone/internet</t>
  </si>
  <si>
    <t>Aluguel de um galpão mensal</t>
  </si>
  <si>
    <t xml:space="preserve">Serviços de limpeza do galpão mensal </t>
  </si>
  <si>
    <t xml:space="preserve">Custo mensal com veículo de apoio </t>
  </si>
  <si>
    <t xml:space="preserve">5. Administração Local </t>
  </si>
  <si>
    <t>6. Monitoramento da Frota</t>
  </si>
  <si>
    <t>7. Benefícios e Despesas Indiretas - BDI</t>
  </si>
  <si>
    <t xml:space="preserve">4. Ferramentas, Materiais de Consumo </t>
  </si>
  <si>
    <t>1.4. Vale Transporte</t>
  </si>
  <si>
    <t>1.6. Auxílio Alimentação (mensal)</t>
  </si>
  <si>
    <t xml:space="preserve">1.7. Plano de Benefício Social  </t>
  </si>
  <si>
    <t xml:space="preserve">Coletor </t>
  </si>
  <si>
    <t>Valores R$</t>
  </si>
  <si>
    <t xml:space="preserve">Bermuda com reflexivo </t>
  </si>
  <si>
    <t xml:space="preserve">Camiseta manga curta com reflexivo </t>
  </si>
  <si>
    <t xml:space="preserve">Piso da categoria </t>
  </si>
  <si>
    <t xml:space="preserve">Lavagem dos caminhões compactadores </t>
  </si>
  <si>
    <t>Rota 2</t>
  </si>
  <si>
    <t>Percurso</t>
  </si>
  <si>
    <t>Sentido</t>
  </si>
  <si>
    <t>Ida</t>
  </si>
  <si>
    <t>Volta</t>
  </si>
  <si>
    <t>Total</t>
  </si>
  <si>
    <t xml:space="preserve">Quantidade de viagens mensais: </t>
  </si>
  <si>
    <t xml:space="preserve">Quilometragem total mensal : </t>
  </si>
  <si>
    <t>Mês/ano</t>
  </si>
  <si>
    <t xml:space="preserve">Toneladas </t>
  </si>
  <si>
    <t>Total Geral Coletadas</t>
  </si>
  <si>
    <t xml:space="preserve">Nr. de meses </t>
  </si>
  <si>
    <t xml:space="preserve">Quantidade média mensal </t>
  </si>
  <si>
    <t>1.2. Encarregado/Supervisor</t>
  </si>
  <si>
    <t>Mês</t>
  </si>
  <si>
    <t xml:space="preserve">1.3. Motorista Turno do dia </t>
  </si>
  <si>
    <t>População (H) IBGE 2022</t>
  </si>
  <si>
    <t>ROTAS DE COLETA DE LIXO - ROTA 1 - Urbano</t>
  </si>
  <si>
    <t>ROTAS DE COLETA DE LIXO - ROTA 2 - Urbano</t>
  </si>
  <si>
    <t>Coleta</t>
  </si>
  <si>
    <t>Nº de Coleta Semanal</t>
  </si>
  <si>
    <t>Distância: Coleta + Transporte</t>
  </si>
  <si>
    <t>Total Semanal:</t>
  </si>
  <si>
    <t>Total Mensal:</t>
  </si>
  <si>
    <t>Total dos percursos da coleta de lixo + Deslocamento</t>
  </si>
  <si>
    <t xml:space="preserve">Total dos percursos Seletivos </t>
  </si>
  <si>
    <t>Prefeitura/Garagem - Início do Rota</t>
  </si>
  <si>
    <t>Início da Rota - Final da Rota</t>
  </si>
  <si>
    <t>Final do Rota - Centro de Triagem</t>
  </si>
  <si>
    <t>Média Semanal:</t>
  </si>
  <si>
    <t xml:space="preserve">Obs: Convenção Coletiva (Sind. ASSEIO 2024).  </t>
  </si>
  <si>
    <t>Camiseta manga longa com reflexivo</t>
  </si>
  <si>
    <t xml:space="preserve">Botina de segurança c/ palmilha aço, ou tênis </t>
  </si>
  <si>
    <t>Toneladas de resíduos coletados</t>
  </si>
  <si>
    <t>PO (Valor em R$)</t>
  </si>
  <si>
    <t>Rota 3</t>
  </si>
  <si>
    <t>Resumo do Percurso - Coleta de lixo Seletivo</t>
  </si>
  <si>
    <t>Centro de Triagem - Prefeitura/Garagem</t>
  </si>
  <si>
    <t xml:space="preserve">Entrada </t>
  </si>
  <si>
    <t xml:space="preserve">Total por funcionário </t>
  </si>
  <si>
    <t xml:space="preserve">1. Coleta de Resíduos Orgânicos </t>
  </si>
  <si>
    <t xml:space="preserve">Custo de aquisição </t>
  </si>
  <si>
    <t>Custo mensal com veículo de apoio 50km semana</t>
  </si>
  <si>
    <t>1.5. Vale Alimentação (diário)</t>
  </si>
  <si>
    <t xml:space="preserve">1.1. Coletor Turno Dia </t>
  </si>
  <si>
    <t xml:space="preserve">1.1 Coletor Turno Dia </t>
  </si>
  <si>
    <t>DISTÂNCIA ATÉ O ATERRO SANITÁRIO - CRVR Victor Graeff</t>
  </si>
  <si>
    <t>ROTAS DE COLETA DE LIXO - ROTA 3 - Interior</t>
  </si>
  <si>
    <t>Local: Região do interior</t>
  </si>
  <si>
    <t>Prefeitura Municipal de Não-Me-Toque</t>
  </si>
  <si>
    <t>Interior</t>
  </si>
  <si>
    <t>Central de Triagem - Aterro Sanitário</t>
  </si>
  <si>
    <t>Trecho 08</t>
  </si>
  <si>
    <t>Trecho 09</t>
  </si>
  <si>
    <t>Trecho 10</t>
  </si>
  <si>
    <t>Trecho 11</t>
  </si>
  <si>
    <t>Trecho 12</t>
  </si>
  <si>
    <t>Trecho 13</t>
  </si>
  <si>
    <t>8 - 9</t>
  </si>
  <si>
    <t>9 - 10</t>
  </si>
  <si>
    <t>10 - 11</t>
  </si>
  <si>
    <t>11 - 12</t>
  </si>
  <si>
    <t>12 - 13</t>
  </si>
  <si>
    <t>13 - 14</t>
  </si>
  <si>
    <t>Trecho extra 1</t>
  </si>
  <si>
    <t>Trecho extra 2</t>
  </si>
  <si>
    <t>Trecho extra 3</t>
  </si>
  <si>
    <t>Distância total da Rota + trechos extras:</t>
  </si>
  <si>
    <t>Rota 1 + Trechos extras</t>
  </si>
  <si>
    <t>Rota 1 Extra</t>
  </si>
  <si>
    <t>Local: Região oeste da área urbana</t>
  </si>
  <si>
    <t>Local: Região leste da área urbana</t>
  </si>
  <si>
    <t>Sexta</t>
  </si>
  <si>
    <t>Rota 2 Extra</t>
  </si>
  <si>
    <t>Total geral de horas trabalhas mês com (DSR)</t>
  </si>
  <si>
    <t xml:space="preserve">Total de horas por motorista </t>
  </si>
  <si>
    <t xml:space="preserve">Obs: considerada uma hora de intervalo para o almoço.  </t>
  </si>
  <si>
    <t>Total Horas</t>
  </si>
  <si>
    <t xml:space="preserve">Planilha com os horários dos funcionários coleta de lixo seletivo </t>
  </si>
  <si>
    <t>Total de dias por semana</t>
  </si>
  <si>
    <t xml:space="preserve">Cargo: Coletor de lixo orgânico </t>
  </si>
  <si>
    <t xml:space="preserve">Planilha com os horários dos funcionários da coleta orgânica </t>
  </si>
  <si>
    <t>3.1. Veículo Coletor Compactador</t>
  </si>
  <si>
    <t>Custo mensal com veículo de apoio 100km semana</t>
  </si>
  <si>
    <t>Manutenção e despesas de instalações para escritório, vestiários e refeições</t>
  </si>
  <si>
    <t>Aluguel de instalações para escritório, vestiários, refeições e garagem</t>
  </si>
  <si>
    <t>Prefeitura/Garagem - Início do Rota / Ponto de Apoio</t>
  </si>
  <si>
    <t>Segunda, terça e quinta</t>
  </si>
  <si>
    <t>Segunda, terça, quinta e sexta</t>
  </si>
  <si>
    <t>Quarta e Sábado</t>
  </si>
  <si>
    <t xml:space="preserve">Quarta </t>
  </si>
  <si>
    <t>Sábado</t>
  </si>
  <si>
    <t xml:space="preserve">1ª  Quarta do mês  </t>
  </si>
  <si>
    <t xml:space="preserve">2ª  Quarta do mês  </t>
  </si>
  <si>
    <t>Volumosos</t>
  </si>
  <si>
    <t xml:space="preserve">3ª  Quarta do mês  </t>
  </si>
  <si>
    <t>1.6. Prêmio Funcionário Presente (Alimentação mensal)</t>
  </si>
  <si>
    <t xml:space="preserve">Cargo: Motorista coleta orgânica </t>
  </si>
  <si>
    <t xml:space="preserve">Coletor interior </t>
  </si>
  <si>
    <t>1ª Quarta do mês</t>
  </si>
  <si>
    <t>Motorista interior</t>
  </si>
  <si>
    <t>Coletor Volumosos</t>
  </si>
  <si>
    <t>Motorista Volumosos</t>
  </si>
  <si>
    <t>2ª  e 3ª Quarta do mês</t>
  </si>
  <si>
    <t xml:space="preserve">2. Coleta de Resíduos Seletivos e Volumosos </t>
  </si>
  <si>
    <t xml:space="preserve">Resumo Custo Edital Coleta de Resíduos Sólidos Domiciliares </t>
  </si>
  <si>
    <t>Coleta seletiva, interior e volumosos</t>
  </si>
  <si>
    <t>Período: (maio de 2023 a abril de 2024)</t>
  </si>
  <si>
    <t xml:space="preserve">Toneladas coletadas e enviadas ao aterro </t>
  </si>
  <si>
    <t xml:space="preserve">Cargo: Coletor de resíduos seletivos e interior e volumosos </t>
  </si>
  <si>
    <t xml:space="preserve">Cargo: Motorista de resíduos seletivos e interior e volumosos </t>
  </si>
  <si>
    <t xml:space="preserve">Coleta de resíduos orgânicos </t>
  </si>
  <si>
    <t>Segunda (carga extra)</t>
  </si>
  <si>
    <t>Rota 1 e 2</t>
  </si>
  <si>
    <t>Custo do Pedágio BR386</t>
  </si>
  <si>
    <t>Viagens/mês (x2)</t>
  </si>
  <si>
    <t>Resumo do Percurso - Coleta de lixo Orgânico e Seletivo</t>
  </si>
  <si>
    <t>Final do Rota - Centro de Triagem/Aterro Sanitário</t>
  </si>
  <si>
    <t>Centro de Triagem/Aterro Sanitário - Prefeitura/Garagem</t>
  </si>
  <si>
    <t>Resumo do Percurso - Coleta de lixo Seletivo e Volumosos</t>
  </si>
  <si>
    <t>Resumo do Percurso - Coleta de lixo Orgânico, Seletivo e Volumosos</t>
  </si>
  <si>
    <t>Obs: Salário do motorista cfe. Convenção Coletiva</t>
  </si>
  <si>
    <t xml:space="preserve">Obs: Salário do motorista cfe. Convenção Coletiva </t>
  </si>
  <si>
    <t xml:space="preserve">Obs: previsto 14 horas semanais </t>
  </si>
  <si>
    <t xml:space="preserve">Obs: previsto 30 horas semanais </t>
  </si>
  <si>
    <t xml:space="preserve">Número de dias de coleta orgânica por semana (Dc)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</si>
</sst>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_-* #,##0.000_-;\-* #,##0.000_-;_-* &quot;-&quot;??_-;_-@_-"/>
    <numFmt numFmtId="170" formatCode="_-* #,##0.00_-;\-* #,##0.00_-;_-* &quot;-&quot;?_-;_-@_-"/>
    <numFmt numFmtId="171" formatCode="_-* #,##0.0_-;\-* #,##0.0_-;_-* &quot;-&quot;??_-;_-@_-"/>
    <numFmt numFmtId="172" formatCode="_ * #,##0.00_ ;_ * \-#,##0.00_ ;_ * &quot;-&quot;??_ ;_ @_ "/>
    <numFmt numFmtId="173" formatCode="_(* #,##0.0000_);_(* \(#,##0.0000\);_(* &quot;-&quot;??_);_(@_)"/>
    <numFmt numFmtId="174" formatCode="0.0"/>
    <numFmt numFmtId="175" formatCode="_(* #,##0.0000000_);_(* \(#,##0.0000000\);_(* &quot;-&quot;??_);_(@_)"/>
    <numFmt numFmtId="176" formatCode="_-* #,##0_-;\-* #,##0_-;_-* &quot;-&quot;??_-;_-@_-"/>
    <numFmt numFmtId="177" formatCode="_-* #,##0.0000_-;\-* #,##0.0000_-;_-* &quot;-&quot;????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4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1">
    <xf numFmtId="0" fontId="0" fillId="0" borderId="0"/>
    <xf numFmtId="0" fontId="35" fillId="0" borderId="0" applyNumberFormat="0" applyFill="0" applyBorder="0" applyAlignment="0" applyProtection="0">
      <alignment vertical="top"/>
      <protection locked="0"/>
    </xf>
    <xf numFmtId="9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171" fontId="54" fillId="0" borderId="0" applyFont="0" applyFill="0" applyBorder="0" applyAlignment="0" applyProtection="0"/>
    <xf numFmtId="0" fontId="27" fillId="0" borderId="0"/>
    <xf numFmtId="0" fontId="28" fillId="0" borderId="0"/>
    <xf numFmtId="0" fontId="54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54" fillId="0" borderId="0" applyFont="0" applyFill="0" applyBorder="0" applyAlignment="0" applyProtection="0"/>
    <xf numFmtId="9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8" fillId="0" borderId="0" applyFont="0" applyFill="0" applyBorder="0" applyAlignment="0" applyProtection="0"/>
    <xf numFmtId="0" fontId="26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" fontId="2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</cellStyleXfs>
  <cellXfs count="554">
    <xf numFmtId="0" fontId="0" fillId="0" borderId="0" xfId="0"/>
    <xf numFmtId="0" fontId="33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28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65" fontId="33" fillId="0" borderId="0" xfId="3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3" fillId="0" borderId="2" xfId="0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165" fontId="33" fillId="0" borderId="2" xfId="3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165" fontId="33" fillId="0" borderId="1" xfId="3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65" fontId="33" fillId="0" borderId="0" xfId="3" applyFont="1" applyAlignment="1">
      <alignment horizontal="center" vertical="center"/>
    </xf>
    <xf numFmtId="165" fontId="30" fillId="2" borderId="4" xfId="3" applyFont="1" applyFill="1" applyBorder="1" applyAlignment="1">
      <alignment horizontal="center" vertical="center"/>
    </xf>
    <xf numFmtId="165" fontId="30" fillId="2" borderId="4" xfId="3" applyFont="1" applyFill="1" applyBorder="1" applyAlignment="1">
      <alignment vertical="center"/>
    </xf>
    <xf numFmtId="165" fontId="30" fillId="0" borderId="0" xfId="3" applyFont="1" applyFill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165" fontId="30" fillId="0" borderId="6" xfId="3" applyFont="1" applyBorder="1" applyAlignment="1">
      <alignment vertical="center"/>
    </xf>
    <xf numFmtId="165" fontId="30" fillId="0" borderId="7" xfId="3" applyFont="1" applyBorder="1" applyAlignment="1">
      <alignment vertical="center"/>
    </xf>
    <xf numFmtId="0" fontId="33" fillId="0" borderId="6" xfId="0" applyFont="1" applyBorder="1" applyAlignment="1">
      <alignment vertical="center"/>
    </xf>
    <xf numFmtId="165" fontId="33" fillId="0" borderId="6" xfId="3" applyFont="1" applyBorder="1" applyAlignment="1">
      <alignment vertical="center"/>
    </xf>
    <xf numFmtId="165" fontId="33" fillId="0" borderId="7" xfId="3" applyFont="1" applyBorder="1" applyAlignment="1">
      <alignment vertical="center"/>
    </xf>
    <xf numFmtId="165" fontId="30" fillId="0" borderId="0" xfId="3" applyFont="1" applyBorder="1" applyAlignment="1">
      <alignment horizontal="center" vertical="center"/>
    </xf>
    <xf numFmtId="3" fontId="33" fillId="0" borderId="0" xfId="0" applyNumberFormat="1" applyFont="1" applyAlignment="1">
      <alignment vertical="center"/>
    </xf>
    <xf numFmtId="165" fontId="30" fillId="0" borderId="0" xfId="3" applyFont="1" applyFill="1" applyBorder="1" applyAlignment="1">
      <alignment horizontal="center" vertical="center"/>
    </xf>
    <xf numFmtId="165" fontId="30" fillId="0" borderId="0" xfId="3" applyFont="1" applyBorder="1" applyAlignment="1">
      <alignment vertical="center"/>
    </xf>
    <xf numFmtId="165" fontId="32" fillId="0" borderId="0" xfId="3" applyFont="1" applyAlignment="1">
      <alignment vertical="center"/>
    </xf>
    <xf numFmtId="166" fontId="33" fillId="0" borderId="1" xfId="3" applyNumberFormat="1" applyFont="1" applyBorder="1" applyAlignment="1">
      <alignment vertical="center"/>
    </xf>
    <xf numFmtId="165" fontId="33" fillId="0" borderId="0" xfId="3" applyFont="1"/>
    <xf numFmtId="165" fontId="31" fillId="0" borderId="0" xfId="3" applyFont="1" applyAlignment="1">
      <alignment vertical="center"/>
    </xf>
    <xf numFmtId="165" fontId="0" fillId="0" borderId="11" xfId="3" applyFont="1" applyBorder="1" applyAlignment="1">
      <alignment vertical="center"/>
    </xf>
    <xf numFmtId="165" fontId="30" fillId="0" borderId="12" xfId="3" applyFont="1" applyBorder="1" applyAlignment="1">
      <alignment horizontal="center" vertical="center"/>
    </xf>
    <xf numFmtId="165" fontId="30" fillId="0" borderId="5" xfId="3" applyFont="1" applyBorder="1" applyAlignment="1">
      <alignment horizontal="left" vertical="center"/>
    </xf>
    <xf numFmtId="4" fontId="30" fillId="0" borderId="6" xfId="0" applyNumberFormat="1" applyFont="1" applyBorder="1" applyAlignment="1">
      <alignment horizontal="centerContinuous" vertical="center"/>
    </xf>
    <xf numFmtId="165" fontId="30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5" fontId="0" fillId="0" borderId="9" xfId="3" applyFont="1" applyBorder="1" applyAlignment="1">
      <alignment vertical="center"/>
    </xf>
    <xf numFmtId="165" fontId="30" fillId="0" borderId="13" xfId="3" applyFont="1" applyBorder="1" applyAlignment="1">
      <alignment horizontal="right" vertical="center"/>
    </xf>
    <xf numFmtId="165" fontId="0" fillId="0" borderId="14" xfId="3" applyFont="1" applyBorder="1" applyAlignment="1">
      <alignment vertical="center"/>
    </xf>
    <xf numFmtId="165" fontId="33" fillId="0" borderId="1" xfId="3" applyFont="1" applyBorder="1" applyAlignment="1">
      <alignment vertical="center"/>
    </xf>
    <xf numFmtId="0" fontId="38" fillId="0" borderId="0" xfId="0" applyFont="1" applyAlignment="1">
      <alignment vertical="center"/>
    </xf>
    <xf numFmtId="0" fontId="37" fillId="0" borderId="1" xfId="0" applyFont="1" applyBorder="1" applyAlignment="1">
      <alignment horizontal="center" vertical="center"/>
    </xf>
    <xf numFmtId="165" fontId="33" fillId="0" borderId="0" xfId="3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165" fontId="31" fillId="0" borderId="0" xfId="3" applyFont="1" applyBorder="1" applyAlignment="1">
      <alignment vertical="center"/>
    </xf>
    <xf numFmtId="10" fontId="0" fillId="0" borderId="15" xfId="2" applyNumberFormat="1" applyFont="1" applyBorder="1" applyAlignment="1">
      <alignment vertical="center"/>
    </xf>
    <xf numFmtId="165" fontId="33" fillId="0" borderId="0" xfId="3" applyFont="1" applyBorder="1" applyAlignment="1">
      <alignment vertical="center"/>
    </xf>
    <xf numFmtId="0" fontId="40" fillId="2" borderId="16" xfId="0" applyFont="1" applyFill="1" applyBorder="1" applyAlignment="1">
      <alignment horizontal="center" vertical="center"/>
    </xf>
    <xf numFmtId="0" fontId="40" fillId="2" borderId="17" xfId="0" applyFont="1" applyFill="1" applyBorder="1" applyAlignment="1">
      <alignment horizontal="center" vertical="center"/>
    </xf>
    <xf numFmtId="165" fontId="40" fillId="2" borderId="17" xfId="3" applyFont="1" applyFill="1" applyBorder="1" applyAlignment="1">
      <alignment horizontal="center" vertical="center"/>
    </xf>
    <xf numFmtId="165" fontId="40" fillId="2" borderId="18" xfId="3" applyFont="1" applyFill="1" applyBorder="1" applyAlignment="1">
      <alignment horizontal="center" vertical="center"/>
    </xf>
    <xf numFmtId="165" fontId="30" fillId="0" borderId="19" xfId="3" applyFont="1" applyBorder="1" applyAlignment="1">
      <alignment horizontal="center" vertical="center"/>
    </xf>
    <xf numFmtId="165" fontId="28" fillId="0" borderId="14" xfId="3" applyFont="1" applyBorder="1" applyAlignment="1">
      <alignment horizontal="left" vertical="center"/>
    </xf>
    <xf numFmtId="165" fontId="33" fillId="0" borderId="9" xfId="3" applyFont="1" applyBorder="1" applyAlignment="1">
      <alignment vertical="center"/>
    </xf>
    <xf numFmtId="165" fontId="33" fillId="0" borderId="14" xfId="3" applyFont="1" applyBorder="1" applyAlignment="1">
      <alignment vertical="center"/>
    </xf>
    <xf numFmtId="166" fontId="33" fillId="0" borderId="0" xfId="3" applyNumberFormat="1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1" fontId="33" fillId="0" borderId="20" xfId="3" applyNumberFormat="1" applyFont="1" applyBorder="1" applyAlignment="1">
      <alignment horizontal="center" vertical="center"/>
    </xf>
    <xf numFmtId="165" fontId="30" fillId="0" borderId="28" xfId="3" applyFont="1" applyBorder="1" applyAlignment="1">
      <alignment vertical="center"/>
    </xf>
    <xf numFmtId="4" fontId="30" fillId="0" borderId="29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1" fontId="30" fillId="0" borderId="31" xfId="3" applyNumberFormat="1" applyFont="1" applyBorder="1" applyAlignment="1">
      <alignment horizontal="center" vertical="center"/>
    </xf>
    <xf numFmtId="165" fontId="39" fillId="0" borderId="1" xfId="3" applyFont="1" applyBorder="1" applyAlignment="1">
      <alignment horizontal="center" vertical="center"/>
    </xf>
    <xf numFmtId="165" fontId="33" fillId="0" borderId="1" xfId="3" applyFont="1" applyFill="1" applyBorder="1" applyAlignment="1">
      <alignment horizontal="center" vertical="center"/>
    </xf>
    <xf numFmtId="165" fontId="38" fillId="0" borderId="0" xfId="3" applyFont="1" applyAlignment="1">
      <alignment vertical="center"/>
    </xf>
    <xf numFmtId="43" fontId="33" fillId="0" borderId="0" xfId="0" applyNumberFormat="1" applyFont="1" applyAlignment="1">
      <alignment vertical="center"/>
    </xf>
    <xf numFmtId="0" fontId="33" fillId="3" borderId="1" xfId="0" applyFont="1" applyFill="1" applyBorder="1" applyAlignment="1">
      <alignment horizontal="center" vertical="center"/>
    </xf>
    <xf numFmtId="165" fontId="33" fillId="3" borderId="2" xfId="3" applyFont="1" applyFill="1" applyBorder="1" applyAlignment="1">
      <alignment horizontal="center" vertical="center"/>
    </xf>
    <xf numFmtId="2" fontId="33" fillId="3" borderId="1" xfId="0" applyNumberFormat="1" applyFont="1" applyFill="1" applyBorder="1" applyAlignment="1">
      <alignment horizontal="center" vertical="center"/>
    </xf>
    <xf numFmtId="165" fontId="33" fillId="3" borderId="1" xfId="3" applyFont="1" applyFill="1" applyBorder="1" applyAlignment="1">
      <alignment horizontal="center" vertical="center"/>
    </xf>
    <xf numFmtId="1" fontId="33" fillId="3" borderId="1" xfId="0" applyNumberFormat="1" applyFont="1" applyFill="1" applyBorder="1" applyAlignment="1">
      <alignment horizontal="center" vertical="center"/>
    </xf>
    <xf numFmtId="0" fontId="33" fillId="3" borderId="0" xfId="0" applyFont="1" applyFill="1" applyAlignment="1">
      <alignment vertical="center"/>
    </xf>
    <xf numFmtId="165" fontId="33" fillId="3" borderId="0" xfId="3" applyFont="1" applyFill="1" applyAlignment="1">
      <alignment vertical="center"/>
    </xf>
    <xf numFmtId="0" fontId="33" fillId="0" borderId="0" xfId="0" applyFont="1" applyAlignment="1">
      <alignment horizontal="right" vertical="center"/>
    </xf>
    <xf numFmtId="166" fontId="33" fillId="0" borderId="1" xfId="3" applyNumberFormat="1" applyFont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4" fontId="33" fillId="3" borderId="2" xfId="0" applyNumberFormat="1" applyFont="1" applyFill="1" applyBorder="1" applyAlignment="1">
      <alignment horizontal="center" vertical="center"/>
    </xf>
    <xf numFmtId="3" fontId="33" fillId="3" borderId="1" xfId="0" applyNumberFormat="1" applyFont="1" applyFill="1" applyBorder="1" applyAlignment="1">
      <alignment horizontal="center" vertical="center"/>
    </xf>
    <xf numFmtId="4" fontId="33" fillId="3" borderId="1" xfId="0" applyNumberFormat="1" applyFont="1" applyFill="1" applyBorder="1" applyAlignment="1">
      <alignment horizontal="center" vertical="center"/>
    </xf>
    <xf numFmtId="13" fontId="33" fillId="3" borderId="1" xfId="0" applyNumberFormat="1" applyFont="1" applyFill="1" applyBorder="1" applyAlignment="1">
      <alignment horizontal="center" vertical="center"/>
    </xf>
    <xf numFmtId="166" fontId="33" fillId="0" borderId="1" xfId="3" applyNumberFormat="1" applyFont="1" applyFill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165" fontId="30" fillId="0" borderId="1" xfId="3" applyFont="1" applyBorder="1" applyAlignment="1">
      <alignment horizontal="center" vertical="center"/>
    </xf>
    <xf numFmtId="165" fontId="33" fillId="0" borderId="2" xfId="3" applyFont="1" applyFill="1" applyBorder="1" applyAlignment="1">
      <alignment horizontal="center" vertical="center"/>
    </xf>
    <xf numFmtId="0" fontId="35" fillId="0" borderId="0" xfId="1" applyAlignment="1" applyProtection="1">
      <alignment vertical="center"/>
    </xf>
    <xf numFmtId="0" fontId="30" fillId="0" borderId="0" xfId="0" applyFont="1"/>
    <xf numFmtId="0" fontId="40" fillId="2" borderId="32" xfId="0" applyFont="1" applyFill="1" applyBorder="1" applyAlignment="1">
      <alignment horizontal="center" vertical="center"/>
    </xf>
    <xf numFmtId="0" fontId="40" fillId="2" borderId="33" xfId="0" applyFont="1" applyFill="1" applyBorder="1" applyAlignment="1">
      <alignment horizontal="center" vertical="center"/>
    </xf>
    <xf numFmtId="165" fontId="40" fillId="2" borderId="33" xfId="3" applyFont="1" applyFill="1" applyBorder="1" applyAlignment="1">
      <alignment horizontal="center" vertical="center"/>
    </xf>
    <xf numFmtId="165" fontId="33" fillId="0" borderId="0" xfId="3" applyFont="1" applyFill="1" applyAlignment="1">
      <alignment vertical="center"/>
    </xf>
    <xf numFmtId="165" fontId="30" fillId="0" borderId="1" xfId="3" applyFont="1" applyFill="1" applyBorder="1" applyAlignment="1">
      <alignment horizontal="center" vertical="center"/>
    </xf>
    <xf numFmtId="164" fontId="30" fillId="0" borderId="34" xfId="0" applyNumberFormat="1" applyFont="1" applyBorder="1" applyAlignment="1">
      <alignment vertical="center"/>
    </xf>
    <xf numFmtId="165" fontId="30" fillId="0" borderId="35" xfId="3" applyFont="1" applyBorder="1" applyAlignment="1">
      <alignment vertical="center"/>
    </xf>
    <xf numFmtId="0" fontId="30" fillId="0" borderId="3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165" fontId="30" fillId="0" borderId="0" xfId="3" applyFont="1" applyAlignment="1">
      <alignment horizontal="center" vertical="center"/>
    </xf>
    <xf numFmtId="165" fontId="30" fillId="0" borderId="3" xfId="3" applyFont="1" applyBorder="1" applyAlignment="1">
      <alignment horizontal="center" vertical="center"/>
    </xf>
    <xf numFmtId="2" fontId="33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33" fillId="0" borderId="0" xfId="3" applyFont="1" applyAlignment="1">
      <alignment horizontal="right" vertical="center"/>
    </xf>
    <xf numFmtId="165" fontId="30" fillId="2" borderId="7" xfId="3" applyFont="1" applyFill="1" applyBorder="1" applyAlignment="1">
      <alignment horizontal="center" vertical="center"/>
    </xf>
    <xf numFmtId="165" fontId="30" fillId="0" borderId="14" xfId="3" applyFont="1" applyBorder="1" applyAlignment="1">
      <alignment vertical="center"/>
    </xf>
    <xf numFmtId="165" fontId="30" fillId="0" borderId="9" xfId="0" applyNumberFormat="1" applyFont="1" applyBorder="1" applyAlignment="1">
      <alignment vertical="center"/>
    </xf>
    <xf numFmtId="165" fontId="30" fillId="0" borderId="9" xfId="3" applyFont="1" applyBorder="1" applyAlignment="1">
      <alignment vertical="center"/>
    </xf>
    <xf numFmtId="10" fontId="30" fillId="0" borderId="15" xfId="2" applyNumberFormat="1" applyFont="1" applyBorder="1" applyAlignment="1">
      <alignment vertical="center"/>
    </xf>
    <xf numFmtId="165" fontId="30" fillId="0" borderId="38" xfId="3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5" fontId="33" fillId="0" borderId="39" xfId="3" applyFont="1" applyBorder="1" applyAlignment="1">
      <alignment vertical="center"/>
    </xf>
    <xf numFmtId="165" fontId="33" fillId="0" borderId="40" xfId="3" applyFont="1" applyBorder="1" applyAlignment="1">
      <alignment vertical="center"/>
    </xf>
    <xf numFmtId="165" fontId="33" fillId="0" borderId="41" xfId="3" applyFont="1" applyBorder="1" applyAlignment="1">
      <alignment vertical="center"/>
    </xf>
    <xf numFmtId="0" fontId="33" fillId="0" borderId="41" xfId="0" applyFont="1" applyBorder="1" applyAlignment="1">
      <alignment vertical="center"/>
    </xf>
    <xf numFmtId="1" fontId="33" fillId="0" borderId="37" xfId="3" applyNumberFormat="1" applyFont="1" applyBorder="1" applyAlignment="1">
      <alignment horizontal="center" vertical="center"/>
    </xf>
    <xf numFmtId="165" fontId="30" fillId="0" borderId="14" xfId="3" applyFont="1" applyBorder="1" applyAlignment="1">
      <alignment horizontal="left" vertical="center"/>
    </xf>
    <xf numFmtId="4" fontId="30" fillId="0" borderId="9" xfId="0" applyNumberFormat="1" applyFont="1" applyBorder="1" applyAlignment="1">
      <alignment horizontal="centerContinuous" vertical="center"/>
    </xf>
    <xf numFmtId="4" fontId="33" fillId="0" borderId="0" xfId="0" applyNumberFormat="1" applyFont="1" applyAlignment="1">
      <alignment vertical="center"/>
    </xf>
    <xf numFmtId="165" fontId="33" fillId="6" borderId="1" xfId="3" applyFont="1" applyFill="1" applyBorder="1" applyAlignment="1">
      <alignment horizontal="center" vertical="center"/>
    </xf>
    <xf numFmtId="165" fontId="33" fillId="6" borderId="1" xfId="3" applyFont="1" applyFill="1" applyBorder="1" applyAlignment="1">
      <alignment vertical="center"/>
    </xf>
    <xf numFmtId="9" fontId="30" fillId="0" borderId="18" xfId="2" applyFont="1" applyBorder="1" applyAlignment="1">
      <alignment vertical="center"/>
    </xf>
    <xf numFmtId="10" fontId="33" fillId="0" borderId="15" xfId="2" applyNumberFormat="1" applyFont="1" applyBorder="1" applyAlignment="1">
      <alignment vertical="center"/>
    </xf>
    <xf numFmtId="0" fontId="32" fillId="0" borderId="0" xfId="0" applyFont="1"/>
    <xf numFmtId="0" fontId="32" fillId="0" borderId="0" xfId="0" applyFont="1" applyAlignment="1">
      <alignment horizontal="center"/>
    </xf>
    <xf numFmtId="165" fontId="33" fillId="0" borderId="1" xfId="0" applyNumberFormat="1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0" fillId="0" borderId="38" xfId="0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39" xfId="3" applyFont="1" applyFill="1" applyBorder="1" applyAlignment="1">
      <alignment vertical="center"/>
    </xf>
    <xf numFmtId="166" fontId="30" fillId="0" borderId="0" xfId="3" applyNumberFormat="1" applyFont="1" applyBorder="1" applyAlignment="1">
      <alignment horizontal="center" vertical="center"/>
    </xf>
    <xf numFmtId="2" fontId="43" fillId="7" borderId="1" xfId="0" applyNumberFormat="1" applyFont="1" applyFill="1" applyBorder="1" applyAlignment="1">
      <alignment horizontal="right" vertical="center"/>
    </xf>
    <xf numFmtId="0" fontId="43" fillId="0" borderId="23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2" fontId="43" fillId="7" borderId="36" xfId="0" applyNumberFormat="1" applyFont="1" applyFill="1" applyBorder="1" applyAlignment="1">
      <alignment horizontal="right" vertical="center"/>
    </xf>
    <xf numFmtId="0" fontId="43" fillId="0" borderId="23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3" fillId="0" borderId="20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10" fontId="43" fillId="0" borderId="20" xfId="0" applyNumberFormat="1" applyFont="1" applyBorder="1" applyAlignment="1">
      <alignment horizontal="right" vertical="center"/>
    </xf>
    <xf numFmtId="0" fontId="47" fillId="0" borderId="1" xfId="0" applyFont="1" applyBorder="1" applyAlignment="1">
      <alignment horizontal="left" vertical="center"/>
    </xf>
    <xf numFmtId="10" fontId="47" fillId="0" borderId="20" xfId="0" applyNumberFormat="1" applyFont="1" applyBorder="1" applyAlignment="1">
      <alignment horizontal="right" vertical="center"/>
    </xf>
    <xf numFmtId="0" fontId="43" fillId="5" borderId="23" xfId="0" applyFont="1" applyFill="1" applyBorder="1" applyAlignment="1">
      <alignment horizontal="left" vertical="center"/>
    </xf>
    <xf numFmtId="0" fontId="47" fillId="5" borderId="1" xfId="0" applyFont="1" applyFill="1" applyBorder="1" applyAlignment="1">
      <alignment horizontal="left" vertical="center"/>
    </xf>
    <xf numFmtId="10" fontId="47" fillId="5" borderId="20" xfId="0" applyNumberFormat="1" applyFont="1" applyFill="1" applyBorder="1" applyAlignment="1">
      <alignment horizontal="right" vertical="center"/>
    </xf>
    <xf numFmtId="0" fontId="48" fillId="0" borderId="1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10" fontId="33" fillId="0" borderId="0" xfId="0" applyNumberFormat="1" applyFont="1"/>
    <xf numFmtId="9" fontId="43" fillId="0" borderId="0" xfId="2" applyFont="1" applyBorder="1" applyAlignment="1">
      <alignment horizontal="right" vertical="center"/>
    </xf>
    <xf numFmtId="0" fontId="43" fillId="0" borderId="1" xfId="0" applyFont="1" applyBorder="1" applyAlignment="1">
      <alignment horizontal="left" vertical="center" wrapText="1"/>
    </xf>
    <xf numFmtId="0" fontId="43" fillId="9" borderId="24" xfId="0" applyFont="1" applyFill="1" applyBorder="1" applyAlignment="1">
      <alignment horizontal="left" vertical="center"/>
    </xf>
    <xf numFmtId="0" fontId="47" fillId="9" borderId="36" xfId="0" applyFont="1" applyFill="1" applyBorder="1" applyAlignment="1">
      <alignment horizontal="left" vertical="center"/>
    </xf>
    <xf numFmtId="10" fontId="47" fillId="9" borderId="37" xfId="0" applyNumberFormat="1" applyFont="1" applyFill="1" applyBorder="1" applyAlignment="1">
      <alignment horizontal="right" vertical="center"/>
    </xf>
    <xf numFmtId="0" fontId="47" fillId="0" borderId="0" xfId="0" applyFont="1" applyAlignment="1">
      <alignment horizontal="left" vertical="center"/>
    </xf>
    <xf numFmtId="10" fontId="47" fillId="0" borderId="0" xfId="0" applyNumberFormat="1" applyFont="1" applyAlignment="1">
      <alignment horizontal="right" vertical="center"/>
    </xf>
    <xf numFmtId="0" fontId="49" fillId="4" borderId="0" xfId="0" applyFont="1" applyFill="1" applyAlignment="1">
      <alignment horizontal="left" vertical="center"/>
    </xf>
    <xf numFmtId="10" fontId="43" fillId="0" borderId="0" xfId="0" applyNumberFormat="1" applyFont="1" applyAlignment="1">
      <alignment horizontal="right" vertical="center"/>
    </xf>
    <xf numFmtId="0" fontId="43" fillId="4" borderId="0" xfId="0" applyFont="1" applyFill="1" applyAlignment="1">
      <alignment horizontal="left" vertical="center"/>
    </xf>
    <xf numFmtId="0" fontId="50" fillId="0" borderId="0" xfId="0" applyFont="1" applyAlignment="1">
      <alignment horizontal="justify" vertical="center"/>
    </xf>
    <xf numFmtId="0" fontId="35" fillId="0" borderId="0" xfId="1" applyBorder="1" applyAlignment="1" applyProtection="1">
      <alignment horizontal="left" vertical="center"/>
    </xf>
    <xf numFmtId="0" fontId="51" fillId="0" borderId="0" xfId="0" applyFont="1"/>
    <xf numFmtId="0" fontId="43" fillId="0" borderId="0" xfId="0" applyFont="1" applyAlignment="1">
      <alignment horizontal="right" vertical="center"/>
    </xf>
    <xf numFmtId="0" fontId="35" fillId="0" borderId="0" xfId="1" applyBorder="1" applyAlignment="1" applyProtection="1">
      <alignment vertical="center"/>
    </xf>
    <xf numFmtId="0" fontId="32" fillId="0" borderId="23" xfId="0" applyFont="1" applyBorder="1"/>
    <xf numFmtId="0" fontId="32" fillId="3" borderId="20" xfId="0" applyFont="1" applyFill="1" applyBorder="1"/>
    <xf numFmtId="0" fontId="32" fillId="0" borderId="38" xfId="0" applyFont="1" applyBorder="1"/>
    <xf numFmtId="0" fontId="34" fillId="0" borderId="38" xfId="0" applyFont="1" applyBorder="1" applyAlignment="1">
      <alignment horizontal="left" vertical="center"/>
    </xf>
    <xf numFmtId="9" fontId="32" fillId="0" borderId="23" xfId="2" applyFont="1" applyBorder="1"/>
    <xf numFmtId="9" fontId="32" fillId="0" borderId="1" xfId="2" applyFont="1" applyBorder="1" applyAlignment="1">
      <alignment horizontal="center"/>
    </xf>
    <xf numFmtId="9" fontId="32" fillId="0" borderId="20" xfId="2" applyFont="1" applyBorder="1"/>
    <xf numFmtId="0" fontId="32" fillId="0" borderId="21" xfId="0" applyFont="1" applyBorder="1" applyAlignment="1">
      <alignment horizontal="left" vertical="center"/>
    </xf>
    <xf numFmtId="0" fontId="32" fillId="0" borderId="22" xfId="0" applyFont="1" applyBorder="1" applyAlignment="1">
      <alignment horizontal="center" vertical="center"/>
    </xf>
    <xf numFmtId="10" fontId="32" fillId="3" borderId="12" xfId="0" applyNumberFormat="1" applyFont="1" applyFill="1" applyBorder="1" applyAlignment="1">
      <alignment horizontal="center" vertical="center"/>
    </xf>
    <xf numFmtId="10" fontId="32" fillId="0" borderId="20" xfId="2" applyNumberFormat="1" applyFont="1" applyBorder="1"/>
    <xf numFmtId="0" fontId="32" fillId="0" borderId="23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10" fontId="32" fillId="3" borderId="20" xfId="0" applyNumberFormat="1" applyFont="1" applyFill="1" applyBorder="1" applyAlignment="1">
      <alignment horizontal="center" vertical="center"/>
    </xf>
    <xf numFmtId="10" fontId="32" fillId="0" borderId="20" xfId="0" applyNumberFormat="1" applyFont="1" applyBorder="1" applyAlignment="1">
      <alignment horizontal="center" vertical="center"/>
    </xf>
    <xf numFmtId="10" fontId="32" fillId="3" borderId="1" xfId="2" applyNumberFormat="1" applyFont="1" applyFill="1" applyBorder="1" applyAlignment="1">
      <alignment horizontal="center"/>
    </xf>
    <xf numFmtId="0" fontId="32" fillId="3" borderId="1" xfId="0" applyFont="1" applyFill="1" applyBorder="1" applyAlignment="1">
      <alignment horizontal="center"/>
    </xf>
    <xf numFmtId="0" fontId="32" fillId="0" borderId="20" xfId="0" applyFont="1" applyBorder="1"/>
    <xf numFmtId="0" fontId="32" fillId="0" borderId="24" xfId="0" applyFont="1" applyBorder="1" applyAlignment="1">
      <alignment horizontal="left" vertical="center"/>
    </xf>
    <xf numFmtId="10" fontId="32" fillId="3" borderId="37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2" fillId="0" borderId="25" xfId="0" applyFont="1" applyBorder="1" applyAlignment="1">
      <alignment vertical="center"/>
    </xf>
    <xf numFmtId="0" fontId="32" fillId="0" borderId="26" xfId="0" applyFont="1" applyBorder="1" applyAlignment="1">
      <alignment vertical="center"/>
    </xf>
    <xf numFmtId="10" fontId="32" fillId="0" borderId="27" xfId="0" applyNumberFormat="1" applyFont="1" applyBorder="1" applyAlignment="1">
      <alignment vertical="center"/>
    </xf>
    <xf numFmtId="0" fontId="32" fillId="0" borderId="28" xfId="0" applyFont="1" applyBorder="1" applyAlignment="1">
      <alignment horizontal="left" vertical="center"/>
    </xf>
    <xf numFmtId="0" fontId="32" fillId="0" borderId="29" xfId="0" applyFont="1" applyBorder="1" applyAlignment="1">
      <alignment horizontal="left" vertical="center"/>
    </xf>
    <xf numFmtId="0" fontId="32" fillId="0" borderId="30" xfId="0" applyFont="1" applyBorder="1" applyAlignment="1">
      <alignment vertical="center"/>
    </xf>
    <xf numFmtId="0" fontId="34" fillId="5" borderId="5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vertical="center"/>
    </xf>
    <xf numFmtId="10" fontId="34" fillId="5" borderId="7" xfId="0" applyNumberFormat="1" applyFont="1" applyFill="1" applyBorder="1" applyAlignment="1">
      <alignment horizontal="center" vertical="center" wrapText="1"/>
    </xf>
    <xf numFmtId="10" fontId="32" fillId="0" borderId="23" xfId="2" applyNumberFormat="1" applyFont="1" applyBorder="1" applyAlignment="1">
      <alignment horizontal="right"/>
    </xf>
    <xf numFmtId="10" fontId="32" fillId="0" borderId="1" xfId="2" applyNumberFormat="1" applyFont="1" applyBorder="1" applyAlignment="1">
      <alignment horizontal="right"/>
    </xf>
    <xf numFmtId="10" fontId="32" fillId="0" borderId="20" xfId="2" applyNumberFormat="1" applyFont="1" applyBorder="1" applyAlignment="1">
      <alignment horizontal="right"/>
    </xf>
    <xf numFmtId="10" fontId="32" fillId="0" borderId="24" xfId="2" applyNumberFormat="1" applyFont="1" applyBorder="1" applyAlignment="1">
      <alignment horizontal="right"/>
    </xf>
    <xf numFmtId="10" fontId="32" fillId="0" borderId="36" xfId="2" applyNumberFormat="1" applyFont="1" applyBorder="1" applyAlignment="1">
      <alignment horizontal="right"/>
    </xf>
    <xf numFmtId="10" fontId="32" fillId="0" borderId="37" xfId="2" applyNumberFormat="1" applyFont="1" applyBorder="1" applyAlignment="1">
      <alignment horizontal="right"/>
    </xf>
    <xf numFmtId="0" fontId="33" fillId="0" borderId="52" xfId="0" applyFont="1" applyBorder="1"/>
    <xf numFmtId="0" fontId="44" fillId="0" borderId="52" xfId="0" applyFont="1" applyBorder="1" applyAlignment="1">
      <alignment horizontal="justify"/>
    </xf>
    <xf numFmtId="0" fontId="44" fillId="0" borderId="53" xfId="0" applyFont="1" applyBorder="1" applyAlignment="1">
      <alignment horizontal="justify"/>
    </xf>
    <xf numFmtId="0" fontId="42" fillId="10" borderId="51" xfId="0" applyFont="1" applyFill="1" applyBorder="1" applyAlignment="1">
      <alignment horizontal="center"/>
    </xf>
    <xf numFmtId="1" fontId="33" fillId="0" borderId="0" xfId="3" applyNumberFormat="1" applyFont="1" applyBorder="1" applyAlignment="1">
      <alignment horizontal="center" vertical="center"/>
    </xf>
    <xf numFmtId="168" fontId="30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30" fillId="0" borderId="36" xfId="0" applyNumberFormat="1" applyFont="1" applyBorder="1" applyAlignment="1">
      <alignment vertical="center"/>
    </xf>
    <xf numFmtId="165" fontId="30" fillId="0" borderId="11" xfId="3" applyFont="1" applyBorder="1" applyAlignment="1">
      <alignment vertical="center"/>
    </xf>
    <xf numFmtId="165" fontId="30" fillId="0" borderId="5" xfId="3" applyFont="1" applyBorder="1" applyAlignment="1">
      <alignment vertical="center"/>
    </xf>
    <xf numFmtId="0" fontId="31" fillId="0" borderId="3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47" fillId="0" borderId="23" xfId="0" applyFont="1" applyBorder="1" applyAlignment="1">
      <alignment horizontal="center" vertical="center"/>
    </xf>
    <xf numFmtId="0" fontId="47" fillId="7" borderId="1" xfId="0" applyFont="1" applyFill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165" fontId="30" fillId="0" borderId="9" xfId="3" applyFont="1" applyBorder="1" applyAlignment="1">
      <alignment horizontal="center" vertical="center"/>
    </xf>
    <xf numFmtId="0" fontId="40" fillId="2" borderId="17" xfId="0" applyFont="1" applyFill="1" applyBorder="1" applyAlignment="1">
      <alignment horizontal="center" vertical="center" wrapText="1"/>
    </xf>
    <xf numFmtId="167" fontId="33" fillId="0" borderId="1" xfId="3" applyNumberFormat="1" applyFont="1" applyBorder="1" applyAlignment="1">
      <alignment horizontal="center" vertical="center"/>
    </xf>
    <xf numFmtId="166" fontId="30" fillId="0" borderId="1" xfId="3" applyNumberFormat="1" applyFont="1" applyBorder="1" applyAlignment="1">
      <alignment horizontal="center" vertical="center"/>
    </xf>
    <xf numFmtId="167" fontId="30" fillId="0" borderId="1" xfId="3" applyNumberFormat="1" applyFont="1" applyBorder="1" applyAlignment="1">
      <alignment horizontal="center" vertical="center"/>
    </xf>
    <xf numFmtId="167" fontId="33" fillId="0" borderId="2" xfId="3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8" fillId="0" borderId="0" xfId="0" applyFont="1"/>
    <xf numFmtId="0" fontId="30" fillId="0" borderId="54" xfId="0" applyFont="1" applyBorder="1" applyAlignment="1">
      <alignment vertical="center"/>
    </xf>
    <xf numFmtId="0" fontId="30" fillId="0" borderId="54" xfId="0" applyFont="1" applyBorder="1" applyAlignment="1">
      <alignment horizontal="center" vertical="center"/>
    </xf>
    <xf numFmtId="165" fontId="30" fillId="0" borderId="54" xfId="3" applyFont="1" applyBorder="1" applyAlignment="1">
      <alignment horizontal="center" vertical="center"/>
    </xf>
    <xf numFmtId="165" fontId="30" fillId="0" borderId="54" xfId="3" applyFont="1" applyFill="1" applyBorder="1" applyAlignment="1">
      <alignment horizontal="center" vertical="center"/>
    </xf>
    <xf numFmtId="4" fontId="28" fillId="0" borderId="0" xfId="0" applyNumberFormat="1" applyFont="1" applyAlignment="1">
      <alignment vertical="center"/>
    </xf>
    <xf numFmtId="0" fontId="34" fillId="0" borderId="23" xfId="0" applyFont="1" applyBorder="1"/>
    <xf numFmtId="0" fontId="34" fillId="0" borderId="1" xfId="0" applyFont="1" applyBorder="1"/>
    <xf numFmtId="0" fontId="34" fillId="0" borderId="20" xfId="0" applyFont="1" applyBorder="1"/>
    <xf numFmtId="0" fontId="32" fillId="0" borderId="1" xfId="0" applyFont="1" applyBorder="1"/>
    <xf numFmtId="169" fontId="48" fillId="0" borderId="20" xfId="3" applyNumberFormat="1" applyFont="1" applyBorder="1" applyAlignment="1">
      <alignment horizontal="center" vertical="center" wrapText="1"/>
    </xf>
    <xf numFmtId="170" fontId="32" fillId="0" borderId="20" xfId="0" applyNumberFormat="1" applyFont="1" applyBorder="1"/>
    <xf numFmtId="2" fontId="32" fillId="0" borderId="20" xfId="0" applyNumberFormat="1" applyFont="1" applyBorder="1"/>
    <xf numFmtId="0" fontId="32" fillId="0" borderId="24" xfId="0" applyFont="1" applyBorder="1"/>
    <xf numFmtId="0" fontId="32" fillId="0" borderId="36" xfId="0" applyFont="1" applyBorder="1"/>
    <xf numFmtId="170" fontId="32" fillId="3" borderId="20" xfId="0" applyNumberFormat="1" applyFont="1" applyFill="1" applyBorder="1"/>
    <xf numFmtId="170" fontId="32" fillId="0" borderId="37" xfId="0" applyNumberFormat="1" applyFont="1" applyBorder="1"/>
    <xf numFmtId="0" fontId="42" fillId="0" borderId="1" xfId="0" applyFont="1" applyBorder="1" applyAlignment="1">
      <alignment horizontal="center"/>
    </xf>
    <xf numFmtId="0" fontId="42" fillId="0" borderId="23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32" fillId="0" borderId="23" xfId="0" applyFont="1" applyBorder="1" applyAlignment="1">
      <alignment horizontal="right"/>
    </xf>
    <xf numFmtId="4" fontId="52" fillId="0" borderId="0" xfId="0" applyNumberFormat="1" applyFont="1" applyAlignment="1">
      <alignment vertical="center"/>
    </xf>
    <xf numFmtId="4" fontId="53" fillId="0" borderId="0" xfId="0" applyNumberFormat="1" applyFont="1" applyAlignment="1">
      <alignment vertical="center"/>
    </xf>
    <xf numFmtId="0" fontId="28" fillId="0" borderId="2" xfId="0" applyFont="1" applyBorder="1" applyAlignment="1">
      <alignment vertical="center"/>
    </xf>
    <xf numFmtId="170" fontId="32" fillId="0" borderId="0" xfId="0" applyNumberFormat="1" applyFont="1"/>
    <xf numFmtId="165" fontId="28" fillId="3" borderId="2" xfId="3" applyFont="1" applyFill="1" applyBorder="1" applyAlignment="1">
      <alignment horizontal="center" vertical="center"/>
    </xf>
    <xf numFmtId="10" fontId="30" fillId="3" borderId="7" xfId="2" applyNumberFormat="1" applyFont="1" applyFill="1" applyBorder="1" applyAlignment="1">
      <alignment vertical="center"/>
    </xf>
    <xf numFmtId="173" fontId="33" fillId="0" borderId="1" xfId="3" applyNumberFormat="1" applyFont="1" applyBorder="1" applyAlignment="1">
      <alignment vertical="center"/>
    </xf>
    <xf numFmtId="10" fontId="55" fillId="0" borderId="1" xfId="2" applyNumberFormat="1" applyFont="1" applyBorder="1"/>
    <xf numFmtId="165" fontId="0" fillId="3" borderId="1" xfId="3" applyFont="1" applyFill="1" applyBorder="1"/>
    <xf numFmtId="13" fontId="28" fillId="3" borderId="1" xfId="0" applyNumberFormat="1" applyFont="1" applyFill="1" applyBorder="1" applyAlignment="1">
      <alignment vertical="center"/>
    </xf>
    <xf numFmtId="0" fontId="28" fillId="0" borderId="1" xfId="0" applyFont="1" applyBorder="1" applyAlignment="1">
      <alignment vertical="center"/>
    </xf>
    <xf numFmtId="13" fontId="33" fillId="3" borderId="1" xfId="0" applyNumberFormat="1" applyFont="1" applyFill="1" applyBorder="1" applyAlignment="1">
      <alignment vertical="center"/>
    </xf>
    <xf numFmtId="165" fontId="33" fillId="0" borderId="0" xfId="0" applyNumberFormat="1" applyFont="1" applyAlignment="1">
      <alignment vertical="center"/>
    </xf>
    <xf numFmtId="4" fontId="31" fillId="0" borderId="0" xfId="0" applyNumberFormat="1" applyFont="1" applyAlignment="1">
      <alignment vertical="center"/>
    </xf>
    <xf numFmtId="4" fontId="33" fillId="3" borderId="1" xfId="0" applyNumberFormat="1" applyFont="1" applyFill="1" applyBorder="1" applyAlignment="1">
      <alignment vertical="center"/>
    </xf>
    <xf numFmtId="165" fontId="28" fillId="0" borderId="0" xfId="3" applyFont="1" applyAlignment="1">
      <alignment vertical="center"/>
    </xf>
    <xf numFmtId="165" fontId="28" fillId="0" borderId="1" xfId="3" applyFont="1" applyBorder="1" applyAlignment="1">
      <alignment horizontal="center" vertical="center"/>
    </xf>
    <xf numFmtId="165" fontId="28" fillId="0" borderId="0" xfId="3" applyFont="1" applyAlignment="1">
      <alignment horizontal="right" vertical="center"/>
    </xf>
    <xf numFmtId="166" fontId="28" fillId="0" borderId="1" xfId="3" applyNumberFormat="1" applyFont="1" applyBorder="1" applyAlignment="1">
      <alignment horizontal="center" vertical="center"/>
    </xf>
    <xf numFmtId="165" fontId="28" fillId="3" borderId="1" xfId="3" applyFont="1" applyFill="1" applyBorder="1" applyAlignment="1">
      <alignment horizontal="center" vertical="center"/>
    </xf>
    <xf numFmtId="167" fontId="28" fillId="0" borderId="1" xfId="3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3" applyFont="1" applyBorder="1"/>
    <xf numFmtId="0" fontId="30" fillId="0" borderId="1" xfId="0" applyFont="1" applyBorder="1"/>
    <xf numFmtId="165" fontId="30" fillId="0" borderId="1" xfId="3" applyFont="1" applyBorder="1"/>
    <xf numFmtId="0" fontId="28" fillId="0" borderId="1" xfId="0" applyFont="1" applyBorder="1"/>
    <xf numFmtId="173" fontId="33" fillId="0" borderId="0" xfId="3" applyNumberFormat="1" applyFont="1" applyAlignment="1">
      <alignment vertical="center"/>
    </xf>
    <xf numFmtId="0" fontId="28" fillId="0" borderId="1" xfId="0" applyFont="1" applyBorder="1" applyAlignment="1">
      <alignment horizontal="center" vertical="center"/>
    </xf>
    <xf numFmtId="173" fontId="33" fillId="0" borderId="0" xfId="3" applyNumberFormat="1" applyFont="1" applyBorder="1" applyAlignment="1">
      <alignment vertical="center"/>
    </xf>
    <xf numFmtId="1" fontId="28" fillId="0" borderId="1" xfId="3" applyNumberFormat="1" applyFont="1" applyFill="1" applyBorder="1" applyAlignment="1">
      <alignment horizontal="center" vertical="center"/>
    </xf>
    <xf numFmtId="44" fontId="28" fillId="3" borderId="1" xfId="6" applyFont="1" applyFill="1" applyBorder="1" applyAlignment="1">
      <alignment horizontal="center" vertical="center"/>
    </xf>
    <xf numFmtId="44" fontId="28" fillId="3" borderId="1" xfId="6" applyFont="1" applyFill="1" applyBorder="1" applyAlignment="1">
      <alignment vertical="center"/>
    </xf>
    <xf numFmtId="0" fontId="29" fillId="0" borderId="55" xfId="0" applyFont="1" applyBorder="1" applyAlignment="1">
      <alignment vertical="center"/>
    </xf>
    <xf numFmtId="44" fontId="30" fillId="2" borderId="4" xfId="6" applyFont="1" applyFill="1" applyBorder="1" applyAlignment="1">
      <alignment vertical="center"/>
    </xf>
    <xf numFmtId="13" fontId="33" fillId="3" borderId="1" xfId="0" applyNumberFormat="1" applyFont="1" applyFill="1" applyBorder="1" applyAlignment="1">
      <alignment horizontal="right" vertical="center"/>
    </xf>
    <xf numFmtId="4" fontId="28" fillId="3" borderId="1" xfId="0" applyNumberFormat="1" applyFont="1" applyFill="1" applyBorder="1" applyAlignment="1">
      <alignment horizontal="center" vertical="center"/>
    </xf>
    <xf numFmtId="175" fontId="30" fillId="0" borderId="0" xfId="3" applyNumberFormat="1" applyFont="1" applyAlignment="1">
      <alignment vertical="center"/>
    </xf>
    <xf numFmtId="173" fontId="28" fillId="0" borderId="1" xfId="3" applyNumberFormat="1" applyFont="1" applyBorder="1" applyAlignment="1">
      <alignment vertical="center"/>
    </xf>
    <xf numFmtId="165" fontId="28" fillId="0" borderId="2" xfId="3" applyFont="1" applyBorder="1" applyAlignment="1">
      <alignment horizontal="center" vertical="center"/>
    </xf>
    <xf numFmtId="0" fontId="28" fillId="0" borderId="1" xfId="9" applyBorder="1" applyAlignment="1">
      <alignment horizontal="center" vertical="center"/>
    </xf>
    <xf numFmtId="173" fontId="0" fillId="0" borderId="0" xfId="3" applyNumberFormat="1" applyFont="1" applyAlignment="1">
      <alignment vertical="center"/>
    </xf>
    <xf numFmtId="0" fontId="28" fillId="0" borderId="2" xfId="0" applyFont="1" applyBorder="1" applyAlignment="1">
      <alignment horizontal="center" vertical="center"/>
    </xf>
    <xf numFmtId="4" fontId="0" fillId="0" borderId="1" xfId="0" applyNumberFormat="1" applyBorder="1"/>
    <xf numFmtId="0" fontId="56" fillId="0" borderId="0" xfId="66" applyFont="1"/>
    <xf numFmtId="0" fontId="6" fillId="0" borderId="0" xfId="66"/>
    <xf numFmtId="0" fontId="55" fillId="0" borderId="0" xfId="66" applyFont="1"/>
    <xf numFmtId="0" fontId="6" fillId="0" borderId="1" xfId="66" applyBorder="1"/>
    <xf numFmtId="0" fontId="55" fillId="0" borderId="1" xfId="66" applyFont="1" applyBorder="1" applyAlignment="1">
      <alignment horizontal="center"/>
    </xf>
    <xf numFmtId="0" fontId="6" fillId="0" borderId="1" xfId="66" applyBorder="1" applyAlignment="1">
      <alignment horizontal="center"/>
    </xf>
    <xf numFmtId="17" fontId="6" fillId="0" borderId="1" xfId="66" applyNumberFormat="1" applyBorder="1" applyAlignment="1">
      <alignment horizontal="center"/>
    </xf>
    <xf numFmtId="165" fontId="28" fillId="0" borderId="1" xfId="3" applyFont="1" applyBorder="1"/>
    <xf numFmtId="165" fontId="28" fillId="0" borderId="0" xfId="3" applyFont="1" applyBorder="1"/>
    <xf numFmtId="43" fontId="6" fillId="0" borderId="0" xfId="66" applyNumberFormat="1"/>
    <xf numFmtId="176" fontId="0" fillId="0" borderId="1" xfId="67" applyNumberFormat="1" applyFont="1" applyBorder="1" applyAlignment="1"/>
    <xf numFmtId="0" fontId="55" fillId="0" borderId="1" xfId="66" applyFont="1" applyBorder="1"/>
    <xf numFmtId="0" fontId="6" fillId="0" borderId="1" xfId="66" applyBorder="1" applyAlignment="1">
      <alignment horizontal="right"/>
    </xf>
    <xf numFmtId="43" fontId="6" fillId="0" borderId="1" xfId="66" applyNumberFormat="1" applyBorder="1"/>
    <xf numFmtId="165" fontId="6" fillId="0" borderId="0" xfId="3" applyFont="1"/>
    <xf numFmtId="165" fontId="0" fillId="0" borderId="0" xfId="3" applyFont="1"/>
    <xf numFmtId="177" fontId="33" fillId="0" borderId="0" xfId="0" applyNumberFormat="1" applyFont="1" applyAlignment="1">
      <alignment vertical="center"/>
    </xf>
    <xf numFmtId="2" fontId="33" fillId="0" borderId="1" xfId="0" applyNumberFormat="1" applyFont="1" applyBorder="1" applyAlignment="1">
      <alignment horizontal="center" vertical="center"/>
    </xf>
    <xf numFmtId="166" fontId="32" fillId="3" borderId="20" xfId="3" applyNumberFormat="1" applyFont="1" applyFill="1" applyBorder="1"/>
    <xf numFmtId="0" fontId="0" fillId="0" borderId="22" xfId="0" applyBorder="1" applyAlignment="1">
      <alignment horizontal="center"/>
    </xf>
    <xf numFmtId="0" fontId="5" fillId="0" borderId="0" xfId="68"/>
    <xf numFmtId="0" fontId="55" fillId="0" borderId="0" xfId="0" applyFont="1" applyAlignment="1">
      <alignment horizontal="center"/>
    </xf>
    <xf numFmtId="0" fontId="55" fillId="0" borderId="22" xfId="0" applyFont="1" applyBorder="1" applyAlignment="1">
      <alignment horizontal="center"/>
    </xf>
    <xf numFmtId="0" fontId="55" fillId="0" borderId="12" xfId="0" applyFont="1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4" fontId="0" fillId="0" borderId="1" xfId="3" applyNumberFormat="1" applyFont="1" applyBorder="1" applyAlignment="1">
      <alignment horizontal="right"/>
    </xf>
    <xf numFmtId="0" fontId="55" fillId="0" borderId="36" xfId="0" applyFont="1" applyBorder="1"/>
    <xf numFmtId="0" fontId="55" fillId="0" borderId="37" xfId="0" applyFont="1" applyBorder="1"/>
    <xf numFmtId="2" fontId="0" fillId="0" borderId="23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8" xfId="0" applyBorder="1" applyAlignment="1">
      <alignment horizontal="center" vertical="center"/>
    </xf>
    <xf numFmtId="1" fontId="0" fillId="0" borderId="8" xfId="0" applyNumberFormat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2" fontId="0" fillId="0" borderId="10" xfId="0" applyNumberFormat="1" applyBorder="1"/>
    <xf numFmtId="2" fontId="0" fillId="0" borderId="20" xfId="0" applyNumberFormat="1" applyBorder="1"/>
    <xf numFmtId="0" fontId="5" fillId="0" borderId="0" xfId="68" applyAlignment="1">
      <alignment horizontal="center"/>
    </xf>
    <xf numFmtId="2" fontId="5" fillId="0" borderId="17" xfId="68" applyNumberFormat="1" applyBorder="1" applyAlignment="1">
      <alignment vertical="center"/>
    </xf>
    <xf numFmtId="2" fontId="5" fillId="0" borderId="18" xfId="68" applyNumberFormat="1" applyBorder="1" applyAlignment="1">
      <alignment vertical="center"/>
    </xf>
    <xf numFmtId="4" fontId="55" fillId="0" borderId="36" xfId="68" applyNumberFormat="1" applyFont="1" applyBorder="1"/>
    <xf numFmtId="2" fontId="55" fillId="0" borderId="37" xfId="68" applyNumberFormat="1" applyFont="1" applyBorder="1"/>
    <xf numFmtId="2" fontId="55" fillId="0" borderId="1" xfId="0" applyNumberFormat="1" applyFont="1" applyBorder="1"/>
    <xf numFmtId="2" fontId="55" fillId="0" borderId="20" xfId="0" applyNumberFormat="1" applyFont="1" applyBorder="1"/>
    <xf numFmtId="2" fontId="55" fillId="0" borderId="0" xfId="68" applyNumberFormat="1" applyFont="1" applyAlignment="1">
      <alignment horizontal="right" vertical="center" wrapText="1"/>
    </xf>
    <xf numFmtId="4" fontId="55" fillId="0" borderId="0" xfId="68" applyNumberFormat="1" applyFont="1"/>
    <xf numFmtId="2" fontId="55" fillId="0" borderId="0" xfId="68" applyNumberFormat="1" applyFont="1"/>
    <xf numFmtId="2" fontId="55" fillId="0" borderId="37" xfId="0" applyNumberFormat="1" applyFont="1" applyBorder="1"/>
    <xf numFmtId="2" fontId="55" fillId="0" borderId="17" xfId="3" applyNumberFormat="1" applyFont="1" applyBorder="1"/>
    <xf numFmtId="0" fontId="55" fillId="0" borderId="18" xfId="0" applyFont="1" applyBorder="1"/>
    <xf numFmtId="0" fontId="57" fillId="0" borderId="0" xfId="68" applyFont="1"/>
    <xf numFmtId="4" fontId="0" fillId="0" borderId="0" xfId="0" applyNumberFormat="1"/>
    <xf numFmtId="0" fontId="55" fillId="0" borderId="0" xfId="0" applyFont="1"/>
    <xf numFmtId="0" fontId="55" fillId="0" borderId="0" xfId="69" applyFont="1" applyAlignment="1">
      <alignment horizontal="center" vertical="center" wrapText="1"/>
    </xf>
    <xf numFmtId="2" fontId="28" fillId="0" borderId="23" xfId="0" applyNumberFormat="1" applyFont="1" applyBorder="1" applyAlignment="1">
      <alignment horizontal="center"/>
    </xf>
    <xf numFmtId="0" fontId="0" fillId="0" borderId="20" xfId="0" applyBorder="1" applyAlignment="1">
      <alignment horizontal="left"/>
    </xf>
    <xf numFmtId="4" fontId="5" fillId="0" borderId="0" xfId="68" applyNumberFormat="1"/>
    <xf numFmtId="0" fontId="0" fillId="0" borderId="0" xfId="0" applyAlignment="1">
      <alignment horizontal="left"/>
    </xf>
    <xf numFmtId="4" fontId="55" fillId="0" borderId="36" xfId="3" applyNumberFormat="1" applyFont="1" applyBorder="1"/>
    <xf numFmtId="0" fontId="55" fillId="0" borderId="37" xfId="0" applyFont="1" applyBorder="1" applyAlignment="1">
      <alignment horizontal="left"/>
    </xf>
    <xf numFmtId="4" fontId="55" fillId="0" borderId="56" xfId="0" applyNumberFormat="1" applyFont="1" applyBorder="1"/>
    <xf numFmtId="2" fontId="55" fillId="0" borderId="31" xfId="0" applyNumberFormat="1" applyFont="1" applyBorder="1"/>
    <xf numFmtId="0" fontId="55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2" fontId="5" fillId="0" borderId="0" xfId="68" applyNumberFormat="1"/>
    <xf numFmtId="2" fontId="0" fillId="0" borderId="0" xfId="0" applyNumberFormat="1"/>
    <xf numFmtId="0" fontId="28" fillId="0" borderId="1" xfId="0" applyFont="1" applyBorder="1" applyAlignment="1">
      <alignment horizontal="center"/>
    </xf>
    <xf numFmtId="13" fontId="28" fillId="3" borderId="1" xfId="0" applyNumberFormat="1" applyFont="1" applyFill="1" applyBorder="1" applyAlignment="1">
      <alignment horizontal="center" vertical="center"/>
    </xf>
    <xf numFmtId="43" fontId="0" fillId="0" borderId="1" xfId="67" applyFont="1" applyBorder="1" applyAlignment="1">
      <alignment horizontal="center"/>
    </xf>
    <xf numFmtId="43" fontId="0" fillId="0" borderId="1" xfId="67" applyFont="1" applyBorder="1" applyAlignment="1">
      <alignment horizontal="right"/>
    </xf>
    <xf numFmtId="0" fontId="55" fillId="0" borderId="0" xfId="0" applyFont="1" applyAlignment="1">
      <alignment horizontal="center" vertical="center" wrapText="1"/>
    </xf>
    <xf numFmtId="0" fontId="4" fillId="0" borderId="0" xfId="68" applyFont="1" applyAlignment="1">
      <alignment horizontal="center"/>
    </xf>
    <xf numFmtId="165" fontId="30" fillId="0" borderId="4" xfId="3" applyFont="1" applyBorder="1" applyAlignment="1">
      <alignment horizontal="right" vertical="center"/>
    </xf>
    <xf numFmtId="2" fontId="0" fillId="0" borderId="47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vertical="center"/>
    </xf>
    <xf numFmtId="1" fontId="0" fillId="0" borderId="62" xfId="0" applyNumberFormat="1" applyBorder="1" applyAlignment="1">
      <alignment vertical="center"/>
    </xf>
    <xf numFmtId="0" fontId="0" fillId="0" borderId="63" xfId="0" applyBorder="1" applyAlignment="1">
      <alignment vertical="center"/>
    </xf>
    <xf numFmtId="2" fontId="0" fillId="0" borderId="48" xfId="0" applyNumberFormat="1" applyBorder="1" applyAlignment="1">
      <alignment vertical="center"/>
    </xf>
    <xf numFmtId="2" fontId="55" fillId="0" borderId="56" xfId="3" applyNumberFormat="1" applyFont="1" applyBorder="1"/>
    <xf numFmtId="0" fontId="55" fillId="0" borderId="31" xfId="0" applyFont="1" applyBorder="1"/>
    <xf numFmtId="0" fontId="0" fillId="0" borderId="24" xfId="0" applyBorder="1" applyAlignment="1">
      <alignment horizontal="center"/>
    </xf>
    <xf numFmtId="0" fontId="0" fillId="0" borderId="36" xfId="0" applyBorder="1" applyAlignment="1">
      <alignment horizontal="center"/>
    </xf>
    <xf numFmtId="4" fontId="0" fillId="0" borderId="36" xfId="3" applyNumberFormat="1" applyFont="1" applyBorder="1" applyAlignment="1">
      <alignment horizontal="right"/>
    </xf>
    <xf numFmtId="0" fontId="0" fillId="0" borderId="37" xfId="0" applyBorder="1"/>
    <xf numFmtId="2" fontId="28" fillId="0" borderId="47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2" fontId="0" fillId="0" borderId="8" xfId="0" applyNumberFormat="1" applyBorder="1" applyAlignment="1">
      <alignment horizontal="right" vertical="center"/>
    </xf>
    <xf numFmtId="2" fontId="0" fillId="0" borderId="63" xfId="0" applyNumberFormat="1" applyBorder="1" applyAlignment="1">
      <alignment vertical="center"/>
    </xf>
    <xf numFmtId="1" fontId="0" fillId="0" borderId="62" xfId="0" applyNumberFormat="1" applyBorder="1" applyAlignment="1">
      <alignment horizontal="right" vertical="center"/>
    </xf>
    <xf numFmtId="0" fontId="0" fillId="0" borderId="63" xfId="0" applyBorder="1" applyAlignment="1">
      <alignment horizontal="left" vertical="center"/>
    </xf>
    <xf numFmtId="1" fontId="0" fillId="0" borderId="8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70"/>
    <xf numFmtId="0" fontId="55" fillId="0" borderId="9" xfId="70" applyFont="1" applyBorder="1"/>
    <xf numFmtId="0" fontId="55" fillId="0" borderId="8" xfId="70" applyFont="1" applyBorder="1"/>
    <xf numFmtId="0" fontId="55" fillId="0" borderId="1" xfId="70" applyFont="1" applyBorder="1"/>
    <xf numFmtId="0" fontId="3" fillId="0" borderId="1" xfId="70" applyBorder="1"/>
    <xf numFmtId="0" fontId="3" fillId="0" borderId="9" xfId="70" applyBorder="1"/>
    <xf numFmtId="0" fontId="3" fillId="0" borderId="8" xfId="70" applyBorder="1"/>
    <xf numFmtId="165" fontId="3" fillId="0" borderId="1" xfId="3" applyFont="1" applyBorder="1"/>
    <xf numFmtId="0" fontId="55" fillId="0" borderId="0" xfId="70" applyFont="1"/>
    <xf numFmtId="20" fontId="55" fillId="0" borderId="1" xfId="70" applyNumberFormat="1" applyFont="1" applyBorder="1"/>
    <xf numFmtId="0" fontId="55" fillId="0" borderId="1" xfId="70" applyFont="1" applyBorder="1" applyAlignment="1">
      <alignment horizontal="center"/>
    </xf>
    <xf numFmtId="0" fontId="28" fillId="0" borderId="1" xfId="9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" fillId="0" borderId="8" xfId="70" applyFont="1" applyBorder="1"/>
    <xf numFmtId="0" fontId="0" fillId="0" borderId="8" xfId="0" applyBorder="1" applyAlignment="1">
      <alignment horizontal="center" vertical="center" wrapText="1"/>
    </xf>
    <xf numFmtId="165" fontId="55" fillId="0" borderId="1" xfId="3" applyFont="1" applyBorder="1"/>
    <xf numFmtId="165" fontId="55" fillId="0" borderId="36" xfId="3" applyFont="1" applyBorder="1"/>
    <xf numFmtId="10" fontId="3" fillId="0" borderId="0" xfId="70" applyNumberFormat="1"/>
    <xf numFmtId="0" fontId="55" fillId="0" borderId="1" xfId="7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1" fillId="0" borderId="8" xfId="70" applyFont="1" applyBorder="1"/>
    <xf numFmtId="165" fontId="33" fillId="0" borderId="19" xfId="3" applyFont="1" applyBorder="1" applyAlignment="1">
      <alignment vertical="center"/>
    </xf>
    <xf numFmtId="165" fontId="33" fillId="0" borderId="11" xfId="3" applyFont="1" applyBorder="1" applyAlignment="1">
      <alignment vertical="center"/>
    </xf>
    <xf numFmtId="0" fontId="0" fillId="0" borderId="11" xfId="0" applyBorder="1" applyAlignment="1">
      <alignment vertical="center"/>
    </xf>
    <xf numFmtId="1" fontId="33" fillId="0" borderId="12" xfId="3" applyNumberFormat="1" applyFont="1" applyBorder="1" applyAlignment="1">
      <alignment horizontal="center" vertical="center"/>
    </xf>
    <xf numFmtId="43" fontId="0" fillId="0" borderId="0" xfId="0" applyNumberFormat="1"/>
    <xf numFmtId="0" fontId="30" fillId="0" borderId="32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165" fontId="30" fillId="0" borderId="14" xfId="3" applyFont="1" applyBorder="1" applyAlignment="1">
      <alignment horizontal="left" vertical="center"/>
    </xf>
    <xf numFmtId="165" fontId="30" fillId="0" borderId="9" xfId="3" applyFont="1" applyBorder="1" applyAlignment="1">
      <alignment horizontal="left" vertical="center"/>
    </xf>
    <xf numFmtId="0" fontId="42" fillId="8" borderId="25" xfId="0" applyFont="1" applyFill="1" applyBorder="1" applyAlignment="1">
      <alignment horizontal="center" vertical="center"/>
    </xf>
    <xf numFmtId="0" fontId="42" fillId="8" borderId="26" xfId="0" applyFont="1" applyFill="1" applyBorder="1" applyAlignment="1">
      <alignment horizontal="center" vertical="center"/>
    </xf>
    <xf numFmtId="0" fontId="42" fillId="8" borderId="27" xfId="0" applyFont="1" applyFill="1" applyBorder="1" applyAlignment="1">
      <alignment horizontal="center" vertical="center"/>
    </xf>
    <xf numFmtId="0" fontId="34" fillId="8" borderId="44" xfId="0" applyFont="1" applyFill="1" applyBorder="1" applyAlignment="1">
      <alignment horizontal="center" vertical="center"/>
    </xf>
    <xf numFmtId="0" fontId="34" fillId="8" borderId="42" xfId="0" applyFont="1" applyFill="1" applyBorder="1" applyAlignment="1">
      <alignment horizontal="center" vertical="center"/>
    </xf>
    <xf numFmtId="0" fontId="34" fillId="8" borderId="45" xfId="0" applyFont="1" applyFill="1" applyBorder="1" applyAlignment="1">
      <alignment horizontal="center" vertical="center"/>
    </xf>
    <xf numFmtId="165" fontId="30" fillId="0" borderId="25" xfId="3" applyFont="1" applyBorder="1" applyAlignment="1">
      <alignment horizontal="center" vertical="center"/>
    </xf>
    <xf numFmtId="165" fontId="30" fillId="0" borderId="26" xfId="3" applyFont="1" applyBorder="1" applyAlignment="1">
      <alignment horizontal="center" vertical="center"/>
    </xf>
    <xf numFmtId="165" fontId="30" fillId="0" borderId="65" xfId="3" applyFont="1" applyBorder="1" applyAlignment="1">
      <alignment horizontal="center" vertical="center"/>
    </xf>
    <xf numFmtId="165" fontId="31" fillId="8" borderId="5" xfId="3" applyFont="1" applyFill="1" applyBorder="1" applyAlignment="1">
      <alignment horizontal="center" vertical="center"/>
    </xf>
    <xf numFmtId="165" fontId="31" fillId="8" borderId="6" xfId="3" applyFont="1" applyFill="1" applyBorder="1" applyAlignment="1">
      <alignment horizontal="center" vertical="center"/>
    </xf>
    <xf numFmtId="165" fontId="31" fillId="8" borderId="7" xfId="3" applyFont="1" applyFill="1" applyBorder="1" applyAlignment="1">
      <alignment horizontal="center" vertical="center"/>
    </xf>
    <xf numFmtId="165" fontId="30" fillId="0" borderId="5" xfId="3" applyFont="1" applyBorder="1" applyAlignment="1">
      <alignment horizontal="center" vertical="center"/>
    </xf>
    <xf numFmtId="165" fontId="30" fillId="0" borderId="6" xfId="3" applyFont="1" applyBorder="1" applyAlignment="1">
      <alignment horizontal="center" vertical="center"/>
    </xf>
    <xf numFmtId="0" fontId="42" fillId="8" borderId="21" xfId="0" applyFont="1" applyFill="1" applyBorder="1" applyAlignment="1">
      <alignment horizontal="center" vertical="center"/>
    </xf>
    <xf numFmtId="0" fontId="42" fillId="8" borderId="22" xfId="0" applyFont="1" applyFill="1" applyBorder="1" applyAlignment="1">
      <alignment horizontal="center" vertical="center"/>
    </xf>
    <xf numFmtId="0" fontId="42" fillId="8" borderId="12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9" fontId="34" fillId="0" borderId="21" xfId="2" applyFont="1" applyBorder="1" applyAlignment="1">
      <alignment horizontal="center"/>
    </xf>
    <xf numFmtId="9" fontId="34" fillId="0" borderId="22" xfId="2" applyFont="1" applyBorder="1" applyAlignment="1">
      <alignment horizontal="center"/>
    </xf>
    <xf numFmtId="9" fontId="34" fillId="0" borderId="12" xfId="2" applyFont="1" applyBorder="1" applyAlignment="1">
      <alignment horizontal="center"/>
    </xf>
    <xf numFmtId="0" fontId="31" fillId="10" borderId="25" xfId="0" applyFont="1" applyFill="1" applyBorder="1" applyAlignment="1">
      <alignment horizontal="center" vertical="center"/>
    </xf>
    <xf numFmtId="0" fontId="31" fillId="10" borderId="26" xfId="0" applyFont="1" applyFill="1" applyBorder="1" applyAlignment="1">
      <alignment horizontal="center" vertical="center"/>
    </xf>
    <xf numFmtId="0" fontId="31" fillId="10" borderId="27" xfId="0" applyFont="1" applyFill="1" applyBorder="1" applyAlignment="1">
      <alignment horizontal="center" vertical="center"/>
    </xf>
    <xf numFmtId="0" fontId="55" fillId="0" borderId="8" xfId="66" applyFont="1" applyBorder="1" applyAlignment="1">
      <alignment horizontal="center"/>
    </xf>
    <xf numFmtId="0" fontId="55" fillId="0" borderId="9" xfId="66" applyFont="1" applyBorder="1" applyAlignment="1">
      <alignment horizontal="center"/>
    </xf>
    <xf numFmtId="0" fontId="55" fillId="0" borderId="10" xfId="66" applyFont="1" applyBorder="1" applyAlignment="1">
      <alignment horizontal="center"/>
    </xf>
    <xf numFmtId="0" fontId="5" fillId="0" borderId="5" xfId="68" applyBorder="1" applyAlignment="1">
      <alignment horizontal="center"/>
    </xf>
    <xf numFmtId="0" fontId="5" fillId="0" borderId="6" xfId="68" applyBorder="1" applyAlignment="1">
      <alignment horizontal="center"/>
    </xf>
    <xf numFmtId="0" fontId="5" fillId="0" borderId="7" xfId="68" applyBorder="1" applyAlignment="1">
      <alignment horizontal="center"/>
    </xf>
    <xf numFmtId="0" fontId="30" fillId="0" borderId="16" xfId="0" applyFont="1" applyBorder="1" applyAlignment="1">
      <alignment horizontal="right"/>
    </xf>
    <xf numFmtId="0" fontId="30" fillId="0" borderId="17" xfId="0" applyFont="1" applyBorder="1" applyAlignment="1">
      <alignment horizontal="right"/>
    </xf>
    <xf numFmtId="0" fontId="55" fillId="0" borderId="5" xfId="68" applyFont="1" applyBorder="1" applyAlignment="1">
      <alignment horizontal="center"/>
    </xf>
    <xf numFmtId="0" fontId="55" fillId="0" borderId="6" xfId="68" applyFont="1" applyBorder="1" applyAlignment="1">
      <alignment horizontal="center"/>
    </xf>
    <xf numFmtId="0" fontId="55" fillId="0" borderId="7" xfId="68" applyFont="1" applyBorder="1" applyAlignment="1">
      <alignment horizontal="center"/>
    </xf>
    <xf numFmtId="0" fontId="55" fillId="0" borderId="19" xfId="0" applyFont="1" applyBorder="1" applyAlignment="1">
      <alignment horizontal="center"/>
    </xf>
    <xf numFmtId="0" fontId="55" fillId="0" borderId="11" xfId="0" applyFont="1" applyBorder="1" applyAlignment="1">
      <alignment horizontal="center"/>
    </xf>
    <xf numFmtId="0" fontId="55" fillId="0" borderId="46" xfId="0" applyFont="1" applyBorder="1" applyAlignment="1">
      <alignment horizontal="center"/>
    </xf>
    <xf numFmtId="0" fontId="55" fillId="0" borderId="5" xfId="0" applyFont="1" applyBorder="1" applyAlignment="1">
      <alignment horizontal="center"/>
    </xf>
    <xf numFmtId="0" fontId="55" fillId="0" borderId="6" xfId="0" applyFont="1" applyBorder="1" applyAlignment="1">
      <alignment horizontal="center"/>
    </xf>
    <xf numFmtId="0" fontId="55" fillId="0" borderId="7" xfId="0" applyFont="1" applyBorder="1" applyAlignment="1">
      <alignment horizontal="center"/>
    </xf>
    <xf numFmtId="0" fontId="30" fillId="0" borderId="40" xfId="0" applyFont="1" applyBorder="1" applyAlignment="1">
      <alignment horizontal="right"/>
    </xf>
    <xf numFmtId="0" fontId="30" fillId="0" borderId="41" xfId="0" applyFont="1" applyBorder="1" applyAlignment="1">
      <alignment horizontal="right"/>
    </xf>
    <xf numFmtId="0" fontId="30" fillId="0" borderId="60" xfId="0" applyFont="1" applyBorder="1" applyAlignment="1">
      <alignment horizontal="right"/>
    </xf>
    <xf numFmtId="0" fontId="28" fillId="0" borderId="14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55" fillId="0" borderId="25" xfId="0" applyFont="1" applyBorder="1" applyAlignment="1">
      <alignment horizontal="center" vertical="center" wrapText="1"/>
    </xf>
    <xf numFmtId="0" fontId="55" fillId="0" borderId="26" xfId="0" applyFont="1" applyBorder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55" fillId="0" borderId="5" xfId="0" applyFont="1" applyBorder="1" applyAlignment="1">
      <alignment horizontal="center" wrapText="1"/>
    </xf>
    <xf numFmtId="0" fontId="55" fillId="0" borderId="6" xfId="0" applyFont="1" applyBorder="1" applyAlignment="1">
      <alignment horizontal="center" wrapText="1"/>
    </xf>
    <xf numFmtId="0" fontId="55" fillId="0" borderId="7" xfId="0" applyFont="1" applyBorder="1" applyAlignment="1">
      <alignment horizontal="center" wrapText="1"/>
    </xf>
    <xf numFmtId="0" fontId="55" fillId="0" borderId="32" xfId="0" applyFont="1" applyBorder="1" applyAlignment="1">
      <alignment horizontal="center" wrapText="1"/>
    </xf>
    <xf numFmtId="0" fontId="55" fillId="0" borderId="33" xfId="0" applyFont="1" applyBorder="1" applyAlignment="1">
      <alignment horizontal="center" wrapText="1"/>
    </xf>
    <xf numFmtId="0" fontId="55" fillId="0" borderId="13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55" fillId="0" borderId="21" xfId="0" applyFont="1" applyBorder="1" applyAlignment="1">
      <alignment horizontal="center"/>
    </xf>
    <xf numFmtId="0" fontId="55" fillId="0" borderId="22" xfId="0" applyFont="1" applyBorder="1" applyAlignment="1">
      <alignment horizontal="center"/>
    </xf>
    <xf numFmtId="0" fontId="55" fillId="0" borderId="5" xfId="0" applyFont="1" applyBorder="1" applyAlignment="1">
      <alignment horizontal="center" vertical="center" wrapText="1"/>
    </xf>
    <xf numFmtId="0" fontId="55" fillId="0" borderId="6" xfId="0" applyFont="1" applyBorder="1" applyAlignment="1">
      <alignment horizontal="center" vertical="center" wrapText="1"/>
    </xf>
    <xf numFmtId="0" fontId="55" fillId="0" borderId="7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5" fillId="0" borderId="61" xfId="68" applyNumberFormat="1" applyBorder="1" applyAlignment="1">
      <alignment horizontal="center"/>
    </xf>
    <xf numFmtId="2" fontId="5" fillId="0" borderId="58" xfId="68" applyNumberFormat="1" applyBorder="1" applyAlignment="1">
      <alignment horizontal="center"/>
    </xf>
    <xf numFmtId="2" fontId="5" fillId="0" borderId="59" xfId="68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2" fontId="5" fillId="0" borderId="16" xfId="68" applyNumberFormat="1" applyBorder="1" applyAlignment="1">
      <alignment horizontal="center" vertical="center" wrapText="1"/>
    </xf>
    <xf numFmtId="2" fontId="5" fillId="0" borderId="17" xfId="68" applyNumberFormat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57" xfId="0" applyBorder="1" applyAlignment="1">
      <alignment horizontal="center"/>
    </xf>
    <xf numFmtId="2" fontId="0" fillId="0" borderId="21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55" fillId="0" borderId="24" xfId="0" applyFont="1" applyBorder="1" applyAlignment="1">
      <alignment horizontal="center"/>
    </xf>
    <xf numFmtId="0" fontId="55" fillId="0" borderId="36" xfId="0" applyFont="1" applyBorder="1" applyAlignment="1">
      <alignment horizontal="center"/>
    </xf>
    <xf numFmtId="2" fontId="5" fillId="0" borderId="49" xfId="68" applyNumberFormat="1" applyBorder="1" applyAlignment="1">
      <alignment horizontal="center" vertical="center"/>
    </xf>
    <xf numFmtId="2" fontId="5" fillId="0" borderId="2" xfId="68" applyNumberFormat="1" applyBorder="1" applyAlignment="1">
      <alignment horizontal="center" vertical="center"/>
    </xf>
    <xf numFmtId="2" fontId="5" fillId="0" borderId="50" xfId="68" applyNumberFormat="1" applyBorder="1" applyAlignment="1">
      <alignment horizontal="center" vertical="center"/>
    </xf>
    <xf numFmtId="2" fontId="55" fillId="0" borderId="24" xfId="68" applyNumberFormat="1" applyFont="1" applyBorder="1" applyAlignment="1">
      <alignment horizontal="center" vertical="center" wrapText="1"/>
    </xf>
    <xf numFmtId="2" fontId="55" fillId="0" borderId="36" xfId="68" applyNumberFormat="1" applyFont="1" applyBorder="1" applyAlignment="1">
      <alignment horizontal="center" vertical="center" wrapText="1"/>
    </xf>
    <xf numFmtId="0" fontId="55" fillId="0" borderId="14" xfId="0" applyFont="1" applyBorder="1" applyAlignment="1">
      <alignment horizontal="right" vertical="center" wrapText="1"/>
    </xf>
    <xf numFmtId="0" fontId="55" fillId="0" borderId="9" xfId="0" applyFont="1" applyBorder="1" applyAlignment="1">
      <alignment horizontal="right" vertical="center" wrapText="1"/>
    </xf>
    <xf numFmtId="0" fontId="55" fillId="0" borderId="10" xfId="0" applyFont="1" applyBorder="1" applyAlignment="1">
      <alignment horizontal="right" vertical="center" wrapText="1"/>
    </xf>
    <xf numFmtId="0" fontId="55" fillId="0" borderId="40" xfId="0" applyFont="1" applyBorder="1" applyAlignment="1">
      <alignment horizontal="right" vertical="center" wrapText="1"/>
    </xf>
    <xf numFmtId="0" fontId="55" fillId="0" borderId="41" xfId="0" applyFont="1" applyBorder="1" applyAlignment="1">
      <alignment horizontal="right" vertical="center" wrapText="1"/>
    </xf>
    <xf numFmtId="0" fontId="55" fillId="0" borderId="60" xfId="0" applyFont="1" applyBorder="1" applyAlignment="1">
      <alignment horizontal="right" vertical="center" wrapText="1"/>
    </xf>
    <xf numFmtId="174" fontId="55" fillId="0" borderId="25" xfId="0" applyNumberFormat="1" applyFont="1" applyBorder="1" applyAlignment="1">
      <alignment horizontal="center"/>
    </xf>
    <xf numFmtId="174" fontId="55" fillId="0" borderId="26" xfId="0" applyNumberFormat="1" applyFont="1" applyBorder="1" applyAlignment="1">
      <alignment horizontal="center"/>
    </xf>
    <xf numFmtId="174" fontId="55" fillId="0" borderId="27" xfId="0" applyNumberFormat="1" applyFont="1" applyBorder="1" applyAlignment="1">
      <alignment horizontal="center"/>
    </xf>
    <xf numFmtId="174" fontId="55" fillId="0" borderId="38" xfId="0" applyNumberFormat="1" applyFont="1" applyBorder="1" applyAlignment="1">
      <alignment horizontal="center"/>
    </xf>
    <xf numFmtId="174" fontId="55" fillId="0" borderId="0" xfId="0" applyNumberFormat="1" applyFont="1" applyAlignment="1">
      <alignment horizontal="center"/>
    </xf>
    <xf numFmtId="174" fontId="55" fillId="0" borderId="39" xfId="0" applyNumberFormat="1" applyFont="1" applyBorder="1" applyAlignment="1">
      <alignment horizontal="center"/>
    </xf>
    <xf numFmtId="0" fontId="55" fillId="0" borderId="5" xfId="69" applyFont="1" applyBorder="1" applyAlignment="1">
      <alignment horizontal="center" vertical="center" wrapText="1"/>
    </xf>
    <xf numFmtId="0" fontId="55" fillId="0" borderId="6" xfId="69" applyFont="1" applyBorder="1" applyAlignment="1">
      <alignment horizontal="center" vertical="center" wrapText="1"/>
    </xf>
    <xf numFmtId="0" fontId="55" fillId="0" borderId="7" xfId="69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0" fillId="0" borderId="64" xfId="0" applyFont="1" applyBorder="1" applyAlignment="1">
      <alignment horizontal="right"/>
    </xf>
    <xf numFmtId="0" fontId="30" fillId="0" borderId="56" xfId="0" applyFont="1" applyBorder="1" applyAlignment="1">
      <alignment horizontal="right"/>
    </xf>
    <xf numFmtId="0" fontId="0" fillId="0" borderId="5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36" xfId="0" applyNumberFormat="1" applyBorder="1" applyAlignment="1">
      <alignment horizontal="center"/>
    </xf>
    <xf numFmtId="0" fontId="55" fillId="0" borderId="16" xfId="0" applyFont="1" applyBorder="1" applyAlignment="1">
      <alignment horizontal="center" vertical="center" wrapText="1"/>
    </xf>
    <xf numFmtId="0" fontId="55" fillId="0" borderId="43" xfId="0" applyFont="1" applyBorder="1" applyAlignment="1">
      <alignment horizontal="center" vertical="center" wrapText="1"/>
    </xf>
    <xf numFmtId="0" fontId="55" fillId="0" borderId="17" xfId="0" applyFont="1" applyBorder="1" applyAlignment="1">
      <alignment horizontal="center" vertical="center" wrapText="1"/>
    </xf>
    <xf numFmtId="0" fontId="55" fillId="0" borderId="18" xfId="0" applyFont="1" applyBorder="1" applyAlignment="1">
      <alignment horizontal="center" vertical="center" wrapText="1"/>
    </xf>
    <xf numFmtId="2" fontId="0" fillId="0" borderId="49" xfId="0" applyNumberFormat="1" applyBorder="1" applyAlignment="1">
      <alignment horizontal="center" vertical="center"/>
    </xf>
    <xf numFmtId="2" fontId="28" fillId="0" borderId="14" xfId="0" applyNumberFormat="1" applyFont="1" applyBorder="1" applyAlignment="1">
      <alignment horizontal="center"/>
    </xf>
    <xf numFmtId="2" fontId="28" fillId="0" borderId="9" xfId="0" applyNumberFormat="1" applyFont="1" applyBorder="1" applyAlignment="1">
      <alignment horizontal="center"/>
    </xf>
    <xf numFmtId="2" fontId="28" fillId="0" borderId="15" xfId="0" applyNumberFormat="1" applyFont="1" applyBorder="1" applyAlignment="1">
      <alignment horizontal="center"/>
    </xf>
    <xf numFmtId="0" fontId="31" fillId="10" borderId="5" xfId="0" applyFont="1" applyFill="1" applyBorder="1" applyAlignment="1">
      <alignment horizontal="center" vertical="center"/>
    </xf>
    <xf numFmtId="0" fontId="31" fillId="10" borderId="6" xfId="0" applyFont="1" applyFill="1" applyBorder="1" applyAlignment="1">
      <alignment horizontal="center" vertical="center"/>
    </xf>
    <xf numFmtId="0" fontId="42" fillId="10" borderId="21" xfId="0" applyFont="1" applyFill="1" applyBorder="1" applyAlignment="1">
      <alignment horizontal="center"/>
    </xf>
    <xf numFmtId="0" fontId="42" fillId="10" borderId="22" xfId="0" applyFont="1" applyFill="1" applyBorder="1" applyAlignment="1">
      <alignment horizontal="center"/>
    </xf>
    <xf numFmtId="0" fontId="42" fillId="10" borderId="12" xfId="0" applyFont="1" applyFill="1" applyBorder="1" applyAlignment="1">
      <alignment horizontal="center"/>
    </xf>
    <xf numFmtId="0" fontId="42" fillId="0" borderId="29" xfId="0" applyFont="1" applyBorder="1" applyAlignment="1">
      <alignment horizontal="center" vertical="center"/>
    </xf>
  </cellXfs>
  <cellStyles count="71">
    <cellStyle name="Hiperlink" xfId="1" builtinId="8"/>
    <cellStyle name="Moeda 2" xfId="6"/>
    <cellStyle name="Moeda 3" xfId="7"/>
    <cellStyle name="Moeda 4" xfId="38"/>
    <cellStyle name="Moeda 5" xfId="43"/>
    <cellStyle name="Normal" xfId="0" builtinId="0"/>
    <cellStyle name="Normal 10" xfId="26"/>
    <cellStyle name="Normal 11" xfId="27"/>
    <cellStyle name="Normal 12" xfId="30"/>
    <cellStyle name="Normal 13" xfId="32"/>
    <cellStyle name="Normal 14" xfId="34"/>
    <cellStyle name="Normal 15" xfId="37"/>
    <cellStyle name="Normal 16" xfId="39"/>
    <cellStyle name="Normal 16 2" xfId="69"/>
    <cellStyle name="Normal 17" xfId="41"/>
    <cellStyle name="Normal 18" xfId="44"/>
    <cellStyle name="Normal 18 2" xfId="63"/>
    <cellStyle name="Normal 19" xfId="46"/>
    <cellStyle name="Normal 2" xfId="8"/>
    <cellStyle name="Normal 2 2" xfId="9"/>
    <cellStyle name="Normal 2 3" xfId="25"/>
    <cellStyle name="Normal 2 3 2" xfId="58"/>
    <cellStyle name="Normal 2 4" xfId="70"/>
    <cellStyle name="Normal 20" xfId="48"/>
    <cellStyle name="Normal 21" xfId="50"/>
    <cellStyle name="Normal 22" xfId="53"/>
    <cellStyle name="Normal 23" xfId="55"/>
    <cellStyle name="Normal 24" xfId="59"/>
    <cellStyle name="Normal 24 2" xfId="68"/>
    <cellStyle name="Normal 25" xfId="61"/>
    <cellStyle name="Normal 26" xfId="62"/>
    <cellStyle name="Normal 27" xfId="64"/>
    <cellStyle name="Normal 28" xfId="65"/>
    <cellStyle name="Normal 3" xfId="10"/>
    <cellStyle name="Normal 4" xfId="11"/>
    <cellStyle name="Normal 5" xfId="12"/>
    <cellStyle name="Normal 6" xfId="4"/>
    <cellStyle name="Normal 6 2" xfId="51"/>
    <cellStyle name="Normal 6 3" xfId="57"/>
    <cellStyle name="Normal 6 4" xfId="66"/>
    <cellStyle name="Normal 7" xfId="13"/>
    <cellStyle name="Normal 8" xfId="14"/>
    <cellStyle name="Normal 9" xfId="15"/>
    <cellStyle name="Porcentagem" xfId="2" builtinId="5"/>
    <cellStyle name="Porcentagem 2" xfId="16"/>
    <cellStyle name="Porcentagem 3" xfId="17"/>
    <cellStyle name="Separador de milhares 10" xfId="28"/>
    <cellStyle name="Separador de milhares 11" xfId="31"/>
    <cellStyle name="Separador de milhares 12" xfId="33"/>
    <cellStyle name="Separador de milhares 13" xfId="35"/>
    <cellStyle name="Separador de milhares 14" xfId="36"/>
    <cellStyle name="Separador de milhares 15" xfId="40"/>
    <cellStyle name="Separador de milhares 16" xfId="42"/>
    <cellStyle name="Separador de milhares 17" xfId="45"/>
    <cellStyle name="Separador de milhares 18" xfId="47"/>
    <cellStyle name="Separador de milhares 19" xfId="49"/>
    <cellStyle name="Separador de milhares 2" xfId="18"/>
    <cellStyle name="Separador de milhares 20" xfId="54"/>
    <cellStyle name="Separador de milhares 21" xfId="56"/>
    <cellStyle name="Separador de milhares 22" xfId="60"/>
    <cellStyle name="Separador de milhares 3" xfId="19"/>
    <cellStyle name="Separador de milhares 4" xfId="20"/>
    <cellStyle name="Separador de milhares 5" xfId="5"/>
    <cellStyle name="Separador de milhares 5 2" xfId="52"/>
    <cellStyle name="Separador de milhares 5 3" xfId="67"/>
    <cellStyle name="Separador de milhares 6" xfId="21"/>
    <cellStyle name="Separador de milhares 7" xfId="22"/>
    <cellStyle name="Separador de milhares 8" xfId="23"/>
    <cellStyle name="Separador de milhares 9" xfId="29"/>
    <cellStyle name="Vírgula" xfId="3" builtinId="3"/>
    <cellStyle name="Vírgula 2" xfId="2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>
          <a:extLst>
            <a:ext uri="{FF2B5EF4-FFF2-40B4-BE49-F238E27FC236}">
              <a16:creationId xmlns:a16="http://schemas.microsoft.com/office/drawing/2014/main" xmlns="" id="{00000000-0008-0000-0D00-00006A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>
          <a:extLst>
            <a:ext uri="{FF2B5EF4-FFF2-40B4-BE49-F238E27FC236}">
              <a16:creationId xmlns:a16="http://schemas.microsoft.com/office/drawing/2014/main" xmlns="" id="{00000000-0008-0000-0D00-00006B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sqref="A1:C8"/>
    </sheetView>
  </sheetViews>
  <sheetFormatPr defaultRowHeight="12.75" x14ac:dyDescent="0.2"/>
  <cols>
    <col min="1" max="1" width="11.140625" customWidth="1"/>
    <col min="2" max="2" width="28" customWidth="1"/>
    <col min="3" max="3" width="20.42578125" customWidth="1"/>
  </cols>
  <sheetData>
    <row r="1" spans="1:3" ht="18" x14ac:dyDescent="0.2">
      <c r="A1" s="132" t="s">
        <v>392</v>
      </c>
    </row>
    <row r="2" spans="1:3" x14ac:dyDescent="0.2">
      <c r="A2" s="95" t="s">
        <v>448</v>
      </c>
    </row>
    <row r="3" spans="1:3" x14ac:dyDescent="0.2">
      <c r="A3" s="270" t="s">
        <v>257</v>
      </c>
      <c r="B3" s="270" t="s">
        <v>301</v>
      </c>
      <c r="C3" s="270" t="s">
        <v>377</v>
      </c>
    </row>
    <row r="4" spans="1:3" x14ac:dyDescent="0.2">
      <c r="A4" s="271">
        <v>1</v>
      </c>
      <c r="B4" s="276" t="s">
        <v>454</v>
      </c>
      <c r="C4" s="273">
        <f>'1. Coleta Orgânica'!F284</f>
        <v>82796.437865002052</v>
      </c>
    </row>
    <row r="5" spans="1:3" ht="25.5" x14ac:dyDescent="0.2">
      <c r="A5" s="271">
        <v>2</v>
      </c>
      <c r="B5" s="407" t="s">
        <v>449</v>
      </c>
      <c r="C5" s="273">
        <f>'2. Coleta Seletiva '!F292</f>
        <v>43656.018535623058</v>
      </c>
    </row>
    <row r="6" spans="1:3" x14ac:dyDescent="0.2">
      <c r="A6" s="271"/>
      <c r="B6" s="272"/>
      <c r="C6" s="273"/>
    </row>
    <row r="7" spans="1:3" x14ac:dyDescent="0.2">
      <c r="A7" s="274" t="s">
        <v>302</v>
      </c>
      <c r="B7" s="274"/>
      <c r="C7" s="275">
        <f>SUM(C4:C6)</f>
        <v>126452.45640062512</v>
      </c>
    </row>
    <row r="8" spans="1:3" x14ac:dyDescent="0.2">
      <c r="C8" s="309"/>
    </row>
    <row r="11" spans="1:3" x14ac:dyDescent="0.2">
      <c r="C11" s="309"/>
    </row>
    <row r="12" spans="1:3" x14ac:dyDescent="0.2">
      <c r="C12" s="41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sqref="A1:A17"/>
    </sheetView>
  </sheetViews>
  <sheetFormatPr defaultColWidth="9.140625" defaultRowHeight="12.75" x14ac:dyDescent="0.2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 x14ac:dyDescent="0.25">
      <c r="A1" s="208" t="s">
        <v>315</v>
      </c>
    </row>
    <row r="2" spans="1:1" x14ac:dyDescent="0.2">
      <c r="A2" s="205"/>
    </row>
    <row r="3" spans="1:1" x14ac:dyDescent="0.2">
      <c r="A3" s="205" t="s">
        <v>203</v>
      </c>
    </row>
    <row r="4" spans="1:1" x14ac:dyDescent="0.2">
      <c r="A4" s="205"/>
    </row>
    <row r="5" spans="1:1" x14ac:dyDescent="0.2">
      <c r="A5" s="205"/>
    </row>
    <row r="6" spans="1:1" x14ac:dyDescent="0.2">
      <c r="A6" s="205"/>
    </row>
    <row r="7" spans="1:1" x14ac:dyDescent="0.2">
      <c r="A7" s="205"/>
    </row>
    <row r="8" spans="1:1" x14ac:dyDescent="0.2">
      <c r="A8" s="205"/>
    </row>
    <row r="9" spans="1:1" x14ac:dyDescent="0.2">
      <c r="A9" s="205"/>
    </row>
    <row r="10" spans="1:1" x14ac:dyDescent="0.2">
      <c r="A10" s="205"/>
    </row>
    <row r="11" spans="1:1" x14ac:dyDescent="0.2">
      <c r="A11" s="205"/>
    </row>
    <row r="12" spans="1:1" ht="19.5" x14ac:dyDescent="0.35">
      <c r="A12" s="206" t="s">
        <v>191</v>
      </c>
    </row>
    <row r="13" spans="1:1" ht="15" x14ac:dyDescent="0.2">
      <c r="A13" s="206" t="s">
        <v>99</v>
      </c>
    </row>
    <row r="14" spans="1:1" ht="15" x14ac:dyDescent="0.2">
      <c r="A14" s="206" t="s">
        <v>103</v>
      </c>
    </row>
    <row r="15" spans="1:1" ht="19.5" x14ac:dyDescent="0.35">
      <c r="A15" s="206" t="s">
        <v>192</v>
      </c>
    </row>
    <row r="16" spans="1:1" ht="19.5" x14ac:dyDescent="0.35">
      <c r="A16" s="206" t="s">
        <v>193</v>
      </c>
    </row>
    <row r="17" spans="1:1" ht="15.75" thickBot="1" x14ac:dyDescent="0.25">
      <c r="A17" s="207" t="s">
        <v>100</v>
      </c>
    </row>
  </sheetData>
  <pageMargins left="0.90551181102362199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7" workbookViewId="0">
      <selection activeCell="A10" sqref="A10:C25"/>
    </sheetView>
  </sheetViews>
  <sheetFormatPr defaultColWidth="9.140625" defaultRowHeight="12.75" x14ac:dyDescent="0.2"/>
  <cols>
    <col min="1" max="1" width="58.28515625" style="228" customWidth="1"/>
    <col min="2" max="2" width="11.140625" style="228" bestFit="1" customWidth="1"/>
    <col min="3" max="3" width="13.28515625" style="228" bestFit="1" customWidth="1"/>
    <col min="4" max="16384" width="9.140625" style="228"/>
  </cols>
  <sheetData>
    <row r="1" spans="1:7" hidden="1" x14ac:dyDescent="0.2">
      <c r="A1" s="9" t="s">
        <v>171</v>
      </c>
    </row>
    <row r="2" spans="1:7" hidden="1" x14ac:dyDescent="0.2">
      <c r="A2" s="233" t="s">
        <v>209</v>
      </c>
    </row>
    <row r="3" spans="1:7" hidden="1" x14ac:dyDescent="0.2">
      <c r="A3" s="233" t="s">
        <v>232</v>
      </c>
    </row>
    <row r="4" spans="1:7" hidden="1" x14ac:dyDescent="0.2">
      <c r="A4" s="5" t="s">
        <v>230</v>
      </c>
    </row>
    <row r="5" spans="1:7" hidden="1" x14ac:dyDescent="0.2">
      <c r="A5" s="5"/>
    </row>
    <row r="6" spans="1:7" s="2" customFormat="1" ht="15.6" hidden="1" customHeight="1" x14ac:dyDescent="0.2">
      <c r="A6" s="250" t="s">
        <v>241</v>
      </c>
      <c r="B6" s="3"/>
      <c r="C6" s="3"/>
      <c r="D6" s="3"/>
      <c r="E6" s="3"/>
      <c r="F6" s="3"/>
      <c r="G6" s="4"/>
    </row>
    <row r="7" spans="1:7" s="2" customFormat="1" ht="16.5" customHeight="1" x14ac:dyDescent="0.2">
      <c r="A7" s="262" t="s">
        <v>242</v>
      </c>
      <c r="B7" s="3"/>
      <c r="C7" s="3"/>
      <c r="D7" s="4"/>
      <c r="E7" s="4"/>
      <c r="F7" s="4"/>
      <c r="G7" s="4"/>
    </row>
    <row r="8" spans="1:7" s="2" customFormat="1" ht="16.5" customHeight="1" x14ac:dyDescent="0.2">
      <c r="A8" s="262" t="s">
        <v>243</v>
      </c>
      <c r="B8" s="3"/>
      <c r="C8" s="3"/>
      <c r="D8" s="4"/>
      <c r="E8" s="4"/>
      <c r="F8" s="4"/>
      <c r="G8" s="4"/>
    </row>
    <row r="9" spans="1:7" ht="13.5" thickBot="1" x14ac:dyDescent="0.25"/>
    <row r="10" spans="1:7" ht="18" x14ac:dyDescent="0.25">
      <c r="A10" s="550" t="s">
        <v>316</v>
      </c>
      <c r="B10" s="551"/>
      <c r="C10" s="552"/>
    </row>
    <row r="11" spans="1:7" ht="18" x14ac:dyDescent="0.25">
      <c r="A11" s="246"/>
      <c r="B11" s="245"/>
      <c r="C11" s="247"/>
    </row>
    <row r="12" spans="1:7" s="95" customFormat="1" ht="15" x14ac:dyDescent="0.25">
      <c r="A12" s="234" t="s">
        <v>227</v>
      </c>
      <c r="B12" s="235" t="s">
        <v>210</v>
      </c>
      <c r="C12" s="236" t="s">
        <v>112</v>
      </c>
    </row>
    <row r="13" spans="1:7" ht="14.25" x14ac:dyDescent="0.2">
      <c r="A13" s="169" t="s">
        <v>359</v>
      </c>
      <c r="B13" s="237" t="s">
        <v>211</v>
      </c>
      <c r="C13" s="312">
        <f>17898-1972</f>
        <v>15926</v>
      </c>
    </row>
    <row r="14" spans="1:7" ht="14.25" x14ac:dyDescent="0.2">
      <c r="A14" s="169" t="s">
        <v>218</v>
      </c>
      <c r="B14" s="237" t="s">
        <v>216</v>
      </c>
      <c r="C14" s="238">
        <v>0.63300000000000001</v>
      </c>
    </row>
    <row r="15" spans="1:7" ht="14.25" x14ac:dyDescent="0.2">
      <c r="A15" s="169" t="s">
        <v>219</v>
      </c>
      <c r="B15" s="237" t="s">
        <v>217</v>
      </c>
      <c r="C15" s="239">
        <f>C13*C14/1000</f>
        <v>10.081158</v>
      </c>
    </row>
    <row r="16" spans="1:7" ht="14.25" x14ac:dyDescent="0.2">
      <c r="A16" s="169" t="s">
        <v>224</v>
      </c>
      <c r="B16" s="237" t="s">
        <v>212</v>
      </c>
      <c r="C16" s="240">
        <f>(C15*30)</f>
        <v>302.43474000000003</v>
      </c>
    </row>
    <row r="17" spans="1:3" ht="14.25" x14ac:dyDescent="0.2">
      <c r="A17" s="169" t="s">
        <v>468</v>
      </c>
      <c r="B17" s="237" t="s">
        <v>87</v>
      </c>
      <c r="C17" s="243">
        <v>4</v>
      </c>
    </row>
    <row r="18" spans="1:3" ht="14.25" x14ac:dyDescent="0.2">
      <c r="A18" s="169" t="s">
        <v>220</v>
      </c>
      <c r="B18" s="237" t="s">
        <v>217</v>
      </c>
      <c r="C18" s="239">
        <f>IFERROR(C15*7/C17,0)</f>
        <v>17.6420265</v>
      </c>
    </row>
    <row r="19" spans="1:3" ht="14.25" x14ac:dyDescent="0.2">
      <c r="A19" s="169" t="s">
        <v>213</v>
      </c>
      <c r="B19" s="237" t="s">
        <v>214</v>
      </c>
      <c r="C19" s="186">
        <v>500</v>
      </c>
    </row>
    <row r="20" spans="1:3" ht="14.25" x14ac:dyDescent="0.2">
      <c r="A20" s="169" t="s">
        <v>225</v>
      </c>
      <c r="B20" s="237"/>
      <c r="C20" s="170">
        <v>2</v>
      </c>
    </row>
    <row r="21" spans="1:3" ht="14.25" x14ac:dyDescent="0.2">
      <c r="A21" s="169" t="s">
        <v>226</v>
      </c>
      <c r="B21" s="237" t="s">
        <v>215</v>
      </c>
      <c r="C21" s="170">
        <v>19</v>
      </c>
    </row>
    <row r="22" spans="1:3" ht="14.25" x14ac:dyDescent="0.2">
      <c r="A22" s="169" t="s">
        <v>221</v>
      </c>
      <c r="B22" s="237" t="s">
        <v>212</v>
      </c>
      <c r="C22" s="240">
        <f>IF(AND(C21&gt;=15,C20=1),5.8,C21/2)</f>
        <v>9.5</v>
      </c>
    </row>
    <row r="23" spans="1:3" ht="14.25" x14ac:dyDescent="0.2">
      <c r="A23" s="169" t="s">
        <v>222</v>
      </c>
      <c r="B23" s="237"/>
      <c r="C23" s="239">
        <f>C18/C22</f>
        <v>1.8570554210526315</v>
      </c>
    </row>
    <row r="24" spans="1:3" ht="14.25" x14ac:dyDescent="0.2">
      <c r="A24" s="169" t="s">
        <v>228</v>
      </c>
      <c r="B24" s="237"/>
      <c r="C24" s="243">
        <v>1</v>
      </c>
    </row>
    <row r="25" spans="1:3" ht="15" thickBot="1" x14ac:dyDescent="0.25">
      <c r="A25" s="241" t="s">
        <v>223</v>
      </c>
      <c r="B25" s="242"/>
      <c r="C25" s="244">
        <f>IFERROR(C23/C24,0)</f>
        <v>1.8570554210526315</v>
      </c>
    </row>
    <row r="26" spans="1:3" ht="14.25" x14ac:dyDescent="0.2">
      <c r="A26" s="129"/>
      <c r="B26" s="129"/>
      <c r="C26" s="252"/>
    </row>
    <row r="27" spans="1:3" ht="14.25" x14ac:dyDescent="0.2">
      <c r="A27" s="129" t="s">
        <v>246</v>
      </c>
    </row>
    <row r="28" spans="1:3" x14ac:dyDescent="0.2">
      <c r="A28" s="228" t="s">
        <v>247</v>
      </c>
    </row>
    <row r="29" spans="1:3" x14ac:dyDescent="0.2">
      <c r="A29" s="228" t="s">
        <v>248</v>
      </c>
    </row>
    <row r="30" spans="1:3" x14ac:dyDescent="0.2">
      <c r="A30" s="228" t="s">
        <v>244</v>
      </c>
    </row>
    <row r="31" spans="1:3" x14ac:dyDescent="0.2">
      <c r="A31" s="228" t="s">
        <v>249</v>
      </c>
    </row>
    <row r="32" spans="1:3" x14ac:dyDescent="0.2">
      <c r="A32" s="228" t="s">
        <v>250</v>
      </c>
    </row>
    <row r="33" spans="1:1" x14ac:dyDescent="0.2">
      <c r="A33" s="228" t="s">
        <v>251</v>
      </c>
    </row>
    <row r="34" spans="1:1" x14ac:dyDescent="0.2">
      <c r="A34" s="228" t="s">
        <v>252</v>
      </c>
    </row>
    <row r="35" spans="1:1" x14ac:dyDescent="0.2">
      <c r="A35" s="228" t="s">
        <v>245</v>
      </c>
    </row>
  </sheetData>
  <mergeCells count="1">
    <mergeCell ref="A10:C10"/>
  </mergeCells>
  <conditionalFormatting sqref="C22">
    <cfRule type="expression" dxfId="0" priority="1">
      <formula>"SE(E(C20&gt;=15;C19=1))"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9"/>
  <sheetViews>
    <sheetView topLeftCell="A280" zoomScale="110" zoomScaleNormal="110" zoomScaleSheetLayoutView="100" workbookViewId="0">
      <selection activeCell="A11" sqref="A11:F284"/>
    </sheetView>
  </sheetViews>
  <sheetFormatPr defaultColWidth="9.140625" defaultRowHeight="12.75" x14ac:dyDescent="0.2"/>
  <cols>
    <col min="1" max="1" width="44.5703125" style="7" customWidth="1"/>
    <col min="2" max="2" width="16" style="7" bestFit="1" customWidth="1"/>
    <col min="3" max="3" width="11.85546875" style="7" customWidth="1"/>
    <col min="4" max="4" width="14.7109375" style="8" customWidth="1"/>
    <col min="5" max="5" width="15.42578125" style="8" customWidth="1"/>
    <col min="6" max="6" width="13.28515625" style="8" customWidth="1"/>
    <col min="7" max="16384" width="9.140625" style="7"/>
  </cols>
  <sheetData>
    <row r="1" spans="1:6" ht="15.75" hidden="1" x14ac:dyDescent="0.2">
      <c r="A1" s="51" t="s">
        <v>171</v>
      </c>
    </row>
    <row r="2" spans="1:6" ht="15.75" hidden="1" x14ac:dyDescent="0.2">
      <c r="A2" s="262" t="s">
        <v>233</v>
      </c>
    </row>
    <row r="3" spans="1:6" ht="15.75" hidden="1" x14ac:dyDescent="0.2">
      <c r="A3" s="262" t="s">
        <v>234</v>
      </c>
    </row>
    <row r="4" spans="1:6" ht="15.75" hidden="1" x14ac:dyDescent="0.2">
      <c r="A4" s="262" t="s">
        <v>236</v>
      </c>
    </row>
    <row r="5" spans="1:6" s="2" customFormat="1" ht="15.75" hidden="1" x14ac:dyDescent="0.2">
      <c r="A5" s="51" t="s">
        <v>230</v>
      </c>
      <c r="C5" s="3"/>
      <c r="D5" s="3"/>
      <c r="E5" s="3"/>
      <c r="F5" s="3"/>
    </row>
    <row r="6" spans="1:6" s="2" customFormat="1" ht="15" hidden="1" x14ac:dyDescent="0.2">
      <c r="A6" s="249" t="s">
        <v>235</v>
      </c>
      <c r="B6" s="3"/>
      <c r="C6" s="3"/>
      <c r="D6" s="3"/>
      <c r="E6" s="3"/>
      <c r="F6" s="3"/>
    </row>
    <row r="7" spans="1:6" s="2" customFormat="1" hidden="1" x14ac:dyDescent="0.2">
      <c r="A7" s="5"/>
      <c r="B7" s="3"/>
      <c r="C7" s="3"/>
      <c r="D7" s="3"/>
      <c r="E7" s="3"/>
      <c r="F7" s="3"/>
    </row>
    <row r="8" spans="1:6" s="2" customFormat="1" ht="15.75" hidden="1" x14ac:dyDescent="0.2">
      <c r="A8" s="250" t="s">
        <v>241</v>
      </c>
      <c r="B8" s="3"/>
      <c r="C8" s="3"/>
      <c r="D8" s="3"/>
      <c r="E8" s="3"/>
      <c r="F8" s="3"/>
    </row>
    <row r="9" spans="1:6" s="2" customFormat="1" ht="15.75" hidden="1" x14ac:dyDescent="0.2">
      <c r="A9" s="262" t="s">
        <v>238</v>
      </c>
      <c r="B9" s="3"/>
      <c r="C9" s="3"/>
      <c r="D9" s="3"/>
      <c r="E9" s="3"/>
      <c r="F9" s="3"/>
    </row>
    <row r="10" spans="1:6" s="2" customFormat="1" hidden="1" x14ac:dyDescent="0.2">
      <c r="A10" s="5"/>
      <c r="B10" s="3"/>
      <c r="C10" s="3"/>
      <c r="D10" s="4"/>
      <c r="E10" s="4"/>
      <c r="F10" s="4"/>
    </row>
    <row r="11" spans="1:6" s="2" customFormat="1" ht="18.75" thickBot="1" x14ac:dyDescent="0.25">
      <c r="A11" s="553" t="s">
        <v>392</v>
      </c>
      <c r="B11" s="553"/>
      <c r="C11" s="553"/>
      <c r="D11" s="553"/>
      <c r="E11" s="553"/>
      <c r="F11" s="553"/>
    </row>
    <row r="12" spans="1:6" s="6" customFormat="1" ht="18" x14ac:dyDescent="0.2">
      <c r="A12" s="418" t="s">
        <v>383</v>
      </c>
      <c r="B12" s="419"/>
      <c r="C12" s="419"/>
      <c r="D12" s="419"/>
      <c r="E12" s="419"/>
      <c r="F12" s="420"/>
    </row>
    <row r="13" spans="1:6" s="6" customFormat="1" ht="15" x14ac:dyDescent="0.2">
      <c r="A13" s="421" t="s">
        <v>43</v>
      </c>
      <c r="B13" s="422"/>
      <c r="C13" s="422"/>
      <c r="D13" s="422"/>
      <c r="E13" s="422"/>
      <c r="F13" s="423"/>
    </row>
    <row r="14" spans="1:6" s="2" customFormat="1" ht="13.5" thickBot="1" x14ac:dyDescent="0.25">
      <c r="A14" s="133"/>
      <c r="B14" s="3"/>
      <c r="C14" s="3"/>
      <c r="D14" s="134"/>
      <c r="E14" s="134"/>
      <c r="F14" s="135"/>
    </row>
    <row r="15" spans="1:6" s="2" customFormat="1" ht="16.5" thickBot="1" x14ac:dyDescent="0.25">
      <c r="A15" s="427" t="s">
        <v>170</v>
      </c>
      <c r="B15" s="428"/>
      <c r="C15" s="428"/>
      <c r="D15" s="428"/>
      <c r="E15" s="428"/>
      <c r="F15" s="429"/>
    </row>
    <row r="16" spans="1:6" s="2" customFormat="1" ht="15.75" customHeight="1" x14ac:dyDescent="0.2">
      <c r="A16" s="59" t="s">
        <v>169</v>
      </c>
      <c r="B16" s="37"/>
      <c r="C16" s="37"/>
      <c r="D16" s="213"/>
      <c r="E16" s="102" t="s">
        <v>38</v>
      </c>
      <c r="F16" s="38" t="s">
        <v>2</v>
      </c>
    </row>
    <row r="17" spans="1:6" s="9" customFormat="1" ht="15.75" customHeight="1" x14ac:dyDescent="0.2">
      <c r="A17" s="111" t="str">
        <f>A53</f>
        <v>1. Mão-de-obra</v>
      </c>
      <c r="B17" s="112"/>
      <c r="C17" s="113"/>
      <c r="D17" s="113"/>
      <c r="E17" s="210">
        <f>+F134</f>
        <v>29457.540256675853</v>
      </c>
      <c r="F17" s="114">
        <f>IFERROR(E17/$E$38,0)</f>
        <v>0.35578270051551963</v>
      </c>
    </row>
    <row r="18" spans="1:6" s="2" customFormat="1" ht="15.75" customHeight="1" x14ac:dyDescent="0.2">
      <c r="A18" s="46" t="str">
        <f>A54</f>
        <v xml:space="preserve">1.1. Coletor Turno Dia </v>
      </c>
      <c r="B18" s="42"/>
      <c r="C18" s="44"/>
      <c r="D18" s="44"/>
      <c r="E18" s="211">
        <f>F71</f>
        <v>16445.0680027704</v>
      </c>
      <c r="F18" s="53">
        <f t="shared" ref="F18:F37" si="0">IFERROR(E18/$E$38,0)</f>
        <v>0.19862047724303983</v>
      </c>
    </row>
    <row r="19" spans="1:6" s="2" customFormat="1" ht="15.75" customHeight="1" x14ac:dyDescent="0.2">
      <c r="A19" s="46" t="str">
        <f>A73</f>
        <v>1.2. Encarregado/Supervisor</v>
      </c>
      <c r="B19" s="42"/>
      <c r="C19" s="44"/>
      <c r="D19" s="44"/>
      <c r="E19" s="211">
        <f>F86</f>
        <v>2886.7387499999995</v>
      </c>
      <c r="F19" s="53">
        <f t="shared" si="0"/>
        <v>3.4865494512055818E-2</v>
      </c>
    </row>
    <row r="20" spans="1:6" s="2" customFormat="1" ht="15.75" customHeight="1" x14ac:dyDescent="0.2">
      <c r="A20" s="46" t="str">
        <f>A88</f>
        <v xml:space="preserve">1.3. Motorista Turno do dia </v>
      </c>
      <c r="B20" s="42"/>
      <c r="C20" s="44"/>
      <c r="D20" s="44"/>
      <c r="E20" s="211">
        <f>F107</f>
        <v>6630.1691853599996</v>
      </c>
      <c r="F20" s="53">
        <f t="shared" si="0"/>
        <v>8.007795209946543E-2</v>
      </c>
    </row>
    <row r="21" spans="1:6" s="2" customFormat="1" ht="15.75" customHeight="1" x14ac:dyDescent="0.2">
      <c r="A21" s="46" t="str">
        <f>A109</f>
        <v>1.4. Vale Transporte</v>
      </c>
      <c r="B21" s="42"/>
      <c r="C21" s="44"/>
      <c r="D21" s="44"/>
      <c r="E21" s="211">
        <f>F115</f>
        <v>624.26366399999995</v>
      </c>
      <c r="F21" s="53">
        <f t="shared" si="0"/>
        <v>7.5397405987181415E-3</v>
      </c>
    </row>
    <row r="22" spans="1:6" s="2" customFormat="1" ht="15.75" customHeight="1" x14ac:dyDescent="0.2">
      <c r="A22" s="46" t="str">
        <f>A117</f>
        <v>1.5. Vale Alimentação (diário)</v>
      </c>
      <c r="B22" s="42"/>
      <c r="C22" s="44"/>
      <c r="D22" s="44"/>
      <c r="E22" s="211">
        <f>F122</f>
        <v>2282.5152000000003</v>
      </c>
      <c r="F22" s="53">
        <f t="shared" si="0"/>
        <v>2.7567794688481598E-2</v>
      </c>
    </row>
    <row r="23" spans="1:6" s="2" customFormat="1" ht="15.75" customHeight="1" x14ac:dyDescent="0.2">
      <c r="A23" s="46" t="str">
        <f>A124</f>
        <v>1.6. Prêmio Funcionário Presente (Alimentação mensal)</v>
      </c>
      <c r="B23" s="42"/>
      <c r="C23" s="44"/>
      <c r="D23" s="44"/>
      <c r="E23" s="211">
        <f>F127</f>
        <v>514.63636363636363</v>
      </c>
      <c r="F23" s="53">
        <f t="shared" si="0"/>
        <v>6.2156824243510093E-3</v>
      </c>
    </row>
    <row r="24" spans="1:6" s="2" customFormat="1" ht="15.75" customHeight="1" x14ac:dyDescent="0.2">
      <c r="A24" s="46" t="str">
        <f>A129</f>
        <v xml:space="preserve">1.7. Plano de Benefício Social  </v>
      </c>
      <c r="B24" s="42"/>
      <c r="C24" s="44"/>
      <c r="D24" s="44"/>
      <c r="E24" s="211">
        <f>F132</f>
        <v>74.149090909090916</v>
      </c>
      <c r="F24" s="53">
        <f t="shared" ref="F24" si="1">IFERROR(E24/$E$38,0)</f>
        <v>8.9555894940781795E-4</v>
      </c>
    </row>
    <row r="25" spans="1:6" s="9" customFormat="1" ht="15.75" customHeight="1" x14ac:dyDescent="0.2">
      <c r="A25" s="416" t="str">
        <f>A136</f>
        <v>2. Uniformes e Equipamentos de Proteção Individual</v>
      </c>
      <c r="B25" s="417"/>
      <c r="C25" s="417"/>
      <c r="D25" s="113"/>
      <c r="E25" s="210">
        <f>+F165</f>
        <v>641.30303030303025</v>
      </c>
      <c r="F25" s="114">
        <f t="shared" si="0"/>
        <v>7.7455389004616616E-3</v>
      </c>
    </row>
    <row r="26" spans="1:6" s="9" customFormat="1" ht="15.75" customHeight="1" x14ac:dyDescent="0.2">
      <c r="A26" s="122" t="str">
        <f>A167</f>
        <v>3. Veículos e Equipamentos</v>
      </c>
      <c r="B26" s="123"/>
      <c r="C26" s="113"/>
      <c r="D26" s="113"/>
      <c r="E26" s="210">
        <f>+F244</f>
        <v>29304.983092558094</v>
      </c>
      <c r="F26" s="114">
        <f t="shared" si="0"/>
        <v>0.35394014341944624</v>
      </c>
    </row>
    <row r="27" spans="1:6" s="2" customFormat="1" ht="15.75" customHeight="1" x14ac:dyDescent="0.2">
      <c r="A27" s="60" t="str">
        <f>A168</f>
        <v>3.1. Veículo Coletor com compactador</v>
      </c>
      <c r="B27" s="43"/>
      <c r="C27" s="44"/>
      <c r="D27" s="44"/>
      <c r="E27" s="211">
        <f>SUM(E28:E33)</f>
        <v>29304.983092558094</v>
      </c>
      <c r="F27" s="128">
        <f t="shared" si="0"/>
        <v>0.35394014341944624</v>
      </c>
    </row>
    <row r="28" spans="1:6" s="2" customFormat="1" ht="15.75" customHeight="1" x14ac:dyDescent="0.2">
      <c r="A28" s="60" t="str">
        <f>A169</f>
        <v>3.1.1. Depreciação</v>
      </c>
      <c r="B28" s="43"/>
      <c r="C28" s="44"/>
      <c r="D28" s="44"/>
      <c r="E28" s="211">
        <f>F184</f>
        <v>5018.8600000000006</v>
      </c>
      <c r="F28" s="128">
        <f t="shared" si="0"/>
        <v>6.0616859002837205E-2</v>
      </c>
    </row>
    <row r="29" spans="1:6" s="2" customFormat="1" ht="15.75" customHeight="1" x14ac:dyDescent="0.2">
      <c r="A29" s="60" t="str">
        <f>A186</f>
        <v>3.1.2. Remuneração do Capital</v>
      </c>
      <c r="B29" s="43"/>
      <c r="C29" s="44"/>
      <c r="D29" s="44"/>
      <c r="E29" s="211">
        <f>F201</f>
        <v>5713.5886499999997</v>
      </c>
      <c r="F29" s="128">
        <f t="shared" si="0"/>
        <v>6.9007662616064377E-2</v>
      </c>
    </row>
    <row r="30" spans="1:6" s="2" customFormat="1" ht="15.75" customHeight="1" x14ac:dyDescent="0.2">
      <c r="A30" s="60" t="str">
        <f>A203</f>
        <v>3.1.3. Impostos e Seguros</v>
      </c>
      <c r="B30" s="43"/>
      <c r="C30" s="44"/>
      <c r="D30" s="44"/>
      <c r="E30" s="211">
        <f>F209</f>
        <v>944.6966666666666</v>
      </c>
      <c r="F30" s="128">
        <f t="shared" si="0"/>
        <v>1.1409870895738E-2</v>
      </c>
    </row>
    <row r="31" spans="1:6" s="2" customFormat="1" ht="15.75" customHeight="1" x14ac:dyDescent="0.2">
      <c r="A31" s="60" t="str">
        <f>A211</f>
        <v>3.1.4. Consumos</v>
      </c>
      <c r="B31" s="43"/>
      <c r="C31" s="44"/>
      <c r="D31" s="44"/>
      <c r="E31" s="211">
        <f>F227</f>
        <v>12302.740423748568</v>
      </c>
      <c r="F31" s="128">
        <f t="shared" si="0"/>
        <v>0.14859021403563208</v>
      </c>
    </row>
    <row r="32" spans="1:6" s="2" customFormat="1" ht="15.75" customHeight="1" x14ac:dyDescent="0.2">
      <c r="A32" s="60" t="str">
        <f>A229</f>
        <v>3.1.5. Manutenção</v>
      </c>
      <c r="B32" s="43"/>
      <c r="C32" s="44"/>
      <c r="D32" s="44"/>
      <c r="E32" s="211">
        <f>F232</f>
        <v>4100.6097257142856</v>
      </c>
      <c r="F32" s="128">
        <f t="shared" si="0"/>
        <v>4.95264027227868E-2</v>
      </c>
    </row>
    <row r="33" spans="1:6" s="2" customFormat="1" ht="15.75" customHeight="1" x14ac:dyDescent="0.2">
      <c r="A33" s="60" t="str">
        <f>A234</f>
        <v>3.1.6. Pneus</v>
      </c>
      <c r="B33" s="43"/>
      <c r="C33" s="44"/>
      <c r="D33" s="44"/>
      <c r="E33" s="211">
        <f>F241</f>
        <v>1224.4876264285713</v>
      </c>
      <c r="F33" s="128">
        <f t="shared" si="0"/>
        <v>1.4789134146387724E-2</v>
      </c>
    </row>
    <row r="34" spans="1:6" s="9" customFormat="1" ht="15.75" customHeight="1" x14ac:dyDescent="0.2">
      <c r="A34" s="122" t="str">
        <f>A246</f>
        <v xml:space="preserve">4. Ferramentas, Materiais de Consumo </v>
      </c>
      <c r="B34" s="123"/>
      <c r="C34" s="113"/>
      <c r="D34" s="113"/>
      <c r="E34" s="210">
        <f>+F253</f>
        <v>15.351666666666667</v>
      </c>
      <c r="F34" s="114">
        <f t="shared" si="0"/>
        <v>1.854145789665161E-4</v>
      </c>
    </row>
    <row r="35" spans="1:6" s="9" customFormat="1" ht="15.75" customHeight="1" x14ac:dyDescent="0.2">
      <c r="A35" s="122" t="str">
        <f>A255</f>
        <v xml:space="preserve">5. Administração Local </v>
      </c>
      <c r="B35" s="123"/>
      <c r="C35" s="113"/>
      <c r="D35" s="113"/>
      <c r="E35" s="210">
        <f>F263</f>
        <v>5256.5</v>
      </c>
      <c r="F35" s="114">
        <f t="shared" si="0"/>
        <v>6.3487030789544582E-2</v>
      </c>
    </row>
    <row r="36" spans="1:6" s="9" customFormat="1" ht="15.75" customHeight="1" x14ac:dyDescent="0.2">
      <c r="A36" s="122" t="str">
        <f>A265</f>
        <v>6. Monitoramento da Frota</v>
      </c>
      <c r="B36" s="123"/>
      <c r="C36" s="113"/>
      <c r="D36" s="113"/>
      <c r="E36" s="210">
        <f>+F273</f>
        <v>161</v>
      </c>
      <c r="F36" s="114">
        <f t="shared" si="0"/>
        <v>1.9445280998985404E-3</v>
      </c>
    </row>
    <row r="37" spans="1:6" s="9" customFormat="1" ht="15.75" customHeight="1" thickBot="1" x14ac:dyDescent="0.25">
      <c r="A37" s="122" t="str">
        <f>A277</f>
        <v>7. Benefícios e Despesas Indiretas - BDI</v>
      </c>
      <c r="B37" s="123"/>
      <c r="C37" s="113"/>
      <c r="D37" s="113"/>
      <c r="E37" s="212">
        <f>+F282</f>
        <v>17959.759818798411</v>
      </c>
      <c r="F37" s="114">
        <f t="shared" si="0"/>
        <v>0.2169146436961629</v>
      </c>
    </row>
    <row r="38" spans="1:6" s="2" customFormat="1" ht="15.75" customHeight="1" thickBot="1" x14ac:dyDescent="0.25">
      <c r="A38" s="39" t="s">
        <v>198</v>
      </c>
      <c r="B38" s="40"/>
      <c r="C38" s="24"/>
      <c r="D38" s="24"/>
      <c r="E38" s="101">
        <f>E17+E25+E26+E34+E36+E37+E35</f>
        <v>82796.437865002052</v>
      </c>
      <c r="F38" s="127">
        <f>F17+F25+F26+F34+F36+F37+F35</f>
        <v>1</v>
      </c>
    </row>
    <row r="39" spans="1:6" ht="13.5" thickBot="1" x14ac:dyDescent="0.25"/>
    <row r="40" spans="1:6" s="2" customFormat="1" ht="16.5" thickBot="1" x14ac:dyDescent="0.25">
      <c r="A40" s="427" t="s">
        <v>91</v>
      </c>
      <c r="B40" s="428"/>
      <c r="C40" s="428"/>
      <c r="D40" s="428"/>
      <c r="E40" s="429"/>
      <c r="F40" s="8"/>
    </row>
    <row r="41" spans="1:6" s="2" customFormat="1" ht="15.75" customHeight="1" thickBot="1" x14ac:dyDescent="0.25">
      <c r="A41" s="424" t="s">
        <v>39</v>
      </c>
      <c r="B41" s="425"/>
      <c r="C41" s="425"/>
      <c r="D41" s="426"/>
      <c r="E41" s="45" t="s">
        <v>40</v>
      </c>
      <c r="F41" s="8"/>
    </row>
    <row r="42" spans="1:6" s="2" customFormat="1" ht="15.75" customHeight="1" x14ac:dyDescent="0.2">
      <c r="A42" s="409" t="str">
        <f>+A54</f>
        <v xml:space="preserve">1.1. Coletor Turno Dia </v>
      </c>
      <c r="B42" s="410"/>
      <c r="C42" s="410"/>
      <c r="D42" s="411"/>
      <c r="E42" s="412">
        <f>C70</f>
        <v>6</v>
      </c>
      <c r="F42" s="8"/>
    </row>
    <row r="43" spans="1:6" s="2" customFormat="1" ht="15.75" customHeight="1" x14ac:dyDescent="0.2">
      <c r="A43" s="62" t="str">
        <f>+A73</f>
        <v>1.2. Encarregado/Supervisor</v>
      </c>
      <c r="B43" s="61"/>
      <c r="C43" s="61"/>
      <c r="D43" s="68"/>
      <c r="E43" s="65">
        <f>C85</f>
        <v>1</v>
      </c>
      <c r="F43" s="8"/>
    </row>
    <row r="44" spans="1:6" s="2" customFormat="1" ht="15.75" customHeight="1" x14ac:dyDescent="0.2">
      <c r="A44" s="62" t="str">
        <f>+A88</f>
        <v xml:space="preserve">1.3. Motorista Turno do dia </v>
      </c>
      <c r="B44" s="61"/>
      <c r="C44" s="61"/>
      <c r="D44" s="68"/>
      <c r="E44" s="65">
        <f>C106</f>
        <v>2</v>
      </c>
      <c r="F44" s="8"/>
    </row>
    <row r="45" spans="1:6" s="2" customFormat="1" ht="15.75" customHeight="1" thickBot="1" x14ac:dyDescent="0.25">
      <c r="A45" s="66" t="s">
        <v>58</v>
      </c>
      <c r="B45" s="67"/>
      <c r="C45" s="67"/>
      <c r="D45" s="69"/>
      <c r="E45" s="70">
        <f>SUM(E42:E44)</f>
        <v>9</v>
      </c>
      <c r="F45" s="8"/>
    </row>
    <row r="46" spans="1:6" s="2" customFormat="1" ht="15.75" customHeight="1" thickBot="1" x14ac:dyDescent="0.25">
      <c r="A46" s="115"/>
      <c r="B46" s="116"/>
      <c r="C46" s="54"/>
      <c r="D46" s="54"/>
      <c r="E46" s="117"/>
      <c r="F46" s="8"/>
    </row>
    <row r="47" spans="1:6" s="2" customFormat="1" ht="15.75" customHeight="1" x14ac:dyDescent="0.2">
      <c r="A47" s="414" t="s">
        <v>56</v>
      </c>
      <c r="B47" s="415"/>
      <c r="C47" s="415"/>
      <c r="D47" s="415"/>
      <c r="E47" s="45" t="s">
        <v>40</v>
      </c>
      <c r="F47" s="7"/>
    </row>
    <row r="48" spans="1:6" s="2" customFormat="1" ht="15.75" customHeight="1" thickBot="1" x14ac:dyDescent="0.25">
      <c r="A48" s="118" t="str">
        <f>+A168</f>
        <v>3.1. Veículo Coletor com compactador</v>
      </c>
      <c r="B48" s="119"/>
      <c r="C48" s="119"/>
      <c r="D48" s="120"/>
      <c r="E48" s="121">
        <f>C183</f>
        <v>2</v>
      </c>
      <c r="F48" s="7"/>
    </row>
    <row r="49" spans="1:6" s="2" customFormat="1" x14ac:dyDescent="0.2">
      <c r="A49" s="54"/>
      <c r="B49" s="54"/>
      <c r="C49" s="54"/>
      <c r="D49" s="7"/>
      <c r="E49" s="209"/>
      <c r="F49" s="7"/>
    </row>
    <row r="50" spans="1:6" s="2" customFormat="1" ht="13.5" thickBot="1" x14ac:dyDescent="0.25">
      <c r="A50" s="54"/>
      <c r="B50" s="54"/>
      <c r="C50" s="54"/>
      <c r="D50" s="7"/>
      <c r="E50" s="63"/>
      <c r="F50" s="7"/>
    </row>
    <row r="51" spans="1:6" s="9" customFormat="1" ht="13.5" thickBot="1" x14ac:dyDescent="0.25">
      <c r="A51" s="214" t="s">
        <v>165</v>
      </c>
      <c r="B51" s="254">
        <f>'7. Horários'!F18</f>
        <v>0.63636363636363635</v>
      </c>
      <c r="C51" s="32"/>
      <c r="E51" s="136"/>
    </row>
    <row r="52" spans="1:6" s="2" customFormat="1" x14ac:dyDescent="0.2">
      <c r="A52" s="54"/>
      <c r="B52" s="54"/>
      <c r="C52" s="54"/>
      <c r="D52" s="7"/>
      <c r="E52" s="63"/>
      <c r="F52" s="7"/>
    </row>
    <row r="53" spans="1:6" x14ac:dyDescent="0.2">
      <c r="A53" s="9" t="s">
        <v>47</v>
      </c>
    </row>
    <row r="54" spans="1:6" ht="13.5" thickBot="1" x14ac:dyDescent="0.25">
      <c r="A54" s="5" t="s">
        <v>387</v>
      </c>
    </row>
    <row r="55" spans="1:6" ht="13.5" thickBot="1" x14ac:dyDescent="0.25">
      <c r="A55" s="55" t="s">
        <v>62</v>
      </c>
      <c r="B55" s="56" t="s">
        <v>63</v>
      </c>
      <c r="C55" s="56" t="s">
        <v>40</v>
      </c>
      <c r="D55" s="57" t="s">
        <v>194</v>
      </c>
      <c r="E55" s="57" t="s">
        <v>64</v>
      </c>
      <c r="F55" s="58" t="s">
        <v>65</v>
      </c>
    </row>
    <row r="56" spans="1:6" x14ac:dyDescent="0.2">
      <c r="A56" s="11" t="s">
        <v>178</v>
      </c>
      <c r="B56" s="12" t="s">
        <v>8</v>
      </c>
      <c r="C56" s="12">
        <v>1</v>
      </c>
      <c r="D56" s="76">
        <v>1816.57</v>
      </c>
      <c r="E56" s="13">
        <f>C56*D56</f>
        <v>1816.57</v>
      </c>
    </row>
    <row r="57" spans="1:6" hidden="1" x14ac:dyDescent="0.2">
      <c r="A57" s="14" t="s">
        <v>7</v>
      </c>
      <c r="B57" s="15" t="s">
        <v>92</v>
      </c>
      <c r="C57" s="77">
        <v>0</v>
      </c>
      <c r="D57" s="16"/>
      <c r="E57" s="16"/>
    </row>
    <row r="58" spans="1:6" hidden="1" x14ac:dyDescent="0.2">
      <c r="A58" s="14"/>
      <c r="B58" s="15" t="s">
        <v>94</v>
      </c>
      <c r="C58" s="107">
        <f>C57*8/7</f>
        <v>0</v>
      </c>
      <c r="D58" s="16">
        <f>D56/220*0.2</f>
        <v>1.6514272727272727</v>
      </c>
      <c r="E58" s="16">
        <f>C57*D58</f>
        <v>0</v>
      </c>
    </row>
    <row r="59" spans="1:6" hidden="1" x14ac:dyDescent="0.2">
      <c r="A59" s="14" t="s">
        <v>34</v>
      </c>
      <c r="B59" s="15" t="s">
        <v>0</v>
      </c>
      <c r="C59" s="77"/>
      <c r="D59" s="16">
        <f>D56/220*2</f>
        <v>16.514272727272726</v>
      </c>
      <c r="E59" s="16">
        <f>C59*D59</f>
        <v>0</v>
      </c>
    </row>
    <row r="60" spans="1:6" hidden="1" x14ac:dyDescent="0.2">
      <c r="A60" s="14" t="s">
        <v>93</v>
      </c>
      <c r="B60" s="15" t="s">
        <v>92</v>
      </c>
      <c r="C60" s="77"/>
      <c r="D60" s="16"/>
      <c r="E60" s="16"/>
    </row>
    <row r="61" spans="1:6" hidden="1" x14ac:dyDescent="0.2">
      <c r="A61" s="14"/>
      <c r="B61" s="15" t="s">
        <v>94</v>
      </c>
      <c r="C61" s="107">
        <f>C60*8/7</f>
        <v>0</v>
      </c>
      <c r="D61" s="16">
        <f>D56/220*2*1.2</f>
        <v>19.817127272727269</v>
      </c>
      <c r="E61" s="16">
        <f>C61*D61</f>
        <v>0</v>
      </c>
    </row>
    <row r="62" spans="1:6" hidden="1" x14ac:dyDescent="0.2">
      <c r="A62" s="14" t="s">
        <v>35</v>
      </c>
      <c r="B62" s="15" t="s">
        <v>0</v>
      </c>
      <c r="C62" s="77"/>
      <c r="D62" s="16">
        <f>D56/220*1.5</f>
        <v>12.385704545454544</v>
      </c>
      <c r="E62" s="16">
        <f>C62*D62</f>
        <v>0</v>
      </c>
    </row>
    <row r="63" spans="1:6" hidden="1" x14ac:dyDescent="0.2">
      <c r="A63" s="14" t="s">
        <v>180</v>
      </c>
      <c r="B63" s="15" t="s">
        <v>92</v>
      </c>
      <c r="C63" s="77">
        <v>0</v>
      </c>
      <c r="D63" s="16"/>
      <c r="E63" s="16"/>
    </row>
    <row r="64" spans="1:6" hidden="1" x14ac:dyDescent="0.2">
      <c r="A64" s="14"/>
      <c r="B64" s="15" t="s">
        <v>94</v>
      </c>
      <c r="C64" s="16">
        <f>C63*8/7</f>
        <v>0</v>
      </c>
      <c r="D64" s="16">
        <f>D56/220*1.5*1.2</f>
        <v>14.862845454545452</v>
      </c>
      <c r="E64" s="16">
        <f>C64*D64</f>
        <v>0</v>
      </c>
    </row>
    <row r="65" spans="1:6" hidden="1" x14ac:dyDescent="0.2">
      <c r="A65" s="14" t="s">
        <v>181</v>
      </c>
      <c r="B65" s="15" t="s">
        <v>33</v>
      </c>
      <c r="D65" s="16">
        <f>63/302*(SUM(E59:E64))</f>
        <v>0</v>
      </c>
      <c r="E65" s="16">
        <f>D65</f>
        <v>0</v>
      </c>
    </row>
    <row r="66" spans="1:6" x14ac:dyDescent="0.2">
      <c r="A66" s="14" t="s">
        <v>1</v>
      </c>
      <c r="B66" s="15" t="s">
        <v>2</v>
      </c>
      <c r="C66" s="15">
        <v>40</v>
      </c>
      <c r="D66" s="72">
        <f>SUM(E56:E65)</f>
        <v>1816.57</v>
      </c>
      <c r="E66" s="16">
        <f>C66*D66/100</f>
        <v>726.62800000000004</v>
      </c>
    </row>
    <row r="67" spans="1:6" x14ac:dyDescent="0.2">
      <c r="A67" s="103" t="s">
        <v>3</v>
      </c>
      <c r="B67" s="104"/>
      <c r="C67" s="104"/>
      <c r="D67" s="105"/>
      <c r="E67" s="106">
        <f>SUM(E56:E66)</f>
        <v>2543.1979999999999</v>
      </c>
    </row>
    <row r="68" spans="1:6" x14ac:dyDescent="0.2">
      <c r="A68" s="14" t="s">
        <v>4</v>
      </c>
      <c r="B68" s="15" t="s">
        <v>2</v>
      </c>
      <c r="C68" s="125">
        <f>'3.Enc Sociais'!$C$38*100</f>
        <v>69.355340000000012</v>
      </c>
      <c r="D68" s="16">
        <f>E67</f>
        <v>2543.1979999999999</v>
      </c>
      <c r="E68" s="16">
        <f>D68*C68/100</f>
        <v>1763.8436197732001</v>
      </c>
    </row>
    <row r="69" spans="1:6" x14ac:dyDescent="0.2">
      <c r="A69" s="103" t="s">
        <v>70</v>
      </c>
      <c r="B69" s="104"/>
      <c r="C69" s="104"/>
      <c r="D69" s="105"/>
      <c r="E69" s="106">
        <f>E67+E68</f>
        <v>4307.0416197732002</v>
      </c>
    </row>
    <row r="70" spans="1:6" ht="13.5" thickBot="1" x14ac:dyDescent="0.25">
      <c r="A70" s="14" t="s">
        <v>5</v>
      </c>
      <c r="B70" s="15" t="s">
        <v>6</v>
      </c>
      <c r="C70" s="75">
        <v>6</v>
      </c>
      <c r="D70" s="16">
        <f>E69</f>
        <v>4307.0416197732002</v>
      </c>
      <c r="E70" s="16">
        <f>C70*D70</f>
        <v>25842.249718639199</v>
      </c>
    </row>
    <row r="71" spans="1:6" ht="13.5" thickBot="1" x14ac:dyDescent="0.25">
      <c r="A71" s="5" t="s">
        <v>373</v>
      </c>
      <c r="D71" s="109" t="s">
        <v>164</v>
      </c>
      <c r="E71" s="255">
        <f>$B$51</f>
        <v>0.63636363636363635</v>
      </c>
      <c r="F71" s="110">
        <f>E70*E71</f>
        <v>16445.0680027704</v>
      </c>
    </row>
    <row r="73" spans="1:6" ht="13.5" thickBot="1" x14ac:dyDescent="0.25">
      <c r="A73" s="5" t="s">
        <v>356</v>
      </c>
    </row>
    <row r="74" spans="1:6" s="10" customFormat="1" thickBot="1" x14ac:dyDescent="0.25">
      <c r="A74" s="55" t="s">
        <v>62</v>
      </c>
      <c r="B74" s="56" t="s">
        <v>63</v>
      </c>
      <c r="C74" s="56" t="s">
        <v>40</v>
      </c>
      <c r="D74" s="57" t="s">
        <v>194</v>
      </c>
      <c r="E74" s="57" t="s">
        <v>64</v>
      </c>
      <c r="F74" s="58" t="s">
        <v>65</v>
      </c>
    </row>
    <row r="75" spans="1:6" x14ac:dyDescent="0.2">
      <c r="A75" s="251" t="s">
        <v>239</v>
      </c>
      <c r="B75" s="12" t="s">
        <v>8</v>
      </c>
      <c r="C75" s="12">
        <v>1</v>
      </c>
      <c r="D75" s="253">
        <v>2500</v>
      </c>
      <c r="E75" s="13">
        <f>C75*D75</f>
        <v>2500</v>
      </c>
    </row>
    <row r="76" spans="1:6" hidden="1" x14ac:dyDescent="0.2">
      <c r="A76" s="251" t="s">
        <v>240</v>
      </c>
      <c r="B76" s="12" t="s">
        <v>8</v>
      </c>
      <c r="C76" s="12">
        <v>1</v>
      </c>
      <c r="D76" s="76">
        <v>0</v>
      </c>
      <c r="E76" s="13"/>
    </row>
    <row r="77" spans="1:6" hidden="1" x14ac:dyDescent="0.2">
      <c r="A77" s="14" t="s">
        <v>34</v>
      </c>
      <c r="B77" s="15" t="s">
        <v>0</v>
      </c>
      <c r="C77" s="77"/>
      <c r="D77" s="16">
        <f>D75/220*2</f>
        <v>22.727272727272727</v>
      </c>
      <c r="E77" s="16">
        <f>C77*D77</f>
        <v>0</v>
      </c>
    </row>
    <row r="78" spans="1:6" hidden="1" x14ac:dyDescent="0.2">
      <c r="A78" s="14" t="s">
        <v>35</v>
      </c>
      <c r="B78" s="15" t="s">
        <v>0</v>
      </c>
      <c r="C78" s="77"/>
      <c r="D78" s="16">
        <f>D75/220*1.5</f>
        <v>17.045454545454547</v>
      </c>
      <c r="E78" s="16">
        <f>C78*D78</f>
        <v>0</v>
      </c>
    </row>
    <row r="79" spans="1:6" hidden="1" x14ac:dyDescent="0.2">
      <c r="A79" s="14" t="s">
        <v>181</v>
      </c>
      <c r="B79" s="15" t="s">
        <v>33</v>
      </c>
      <c r="D79" s="16">
        <f>63/302*(SUM(E77:E78))</f>
        <v>0</v>
      </c>
      <c r="E79" s="16">
        <f>D79</f>
        <v>0</v>
      </c>
    </row>
    <row r="80" spans="1:6" hidden="1" x14ac:dyDescent="0.2">
      <c r="A80" s="14" t="s">
        <v>179</v>
      </c>
      <c r="B80" s="15"/>
      <c r="C80" s="79">
        <v>1</v>
      </c>
      <c r="D80" s="16"/>
      <c r="E80" s="16"/>
    </row>
    <row r="81" spans="1:6" hidden="1" x14ac:dyDescent="0.2">
      <c r="A81" s="14" t="s">
        <v>1</v>
      </c>
      <c r="B81" s="15" t="s">
        <v>2</v>
      </c>
      <c r="C81" s="75">
        <v>20</v>
      </c>
      <c r="D81" s="72">
        <f>IF(C80=2,SUM(E75:E79),IF(C80=1,(SUM(E75:E79))*D76/D75,0))</f>
        <v>0</v>
      </c>
      <c r="E81" s="16">
        <f>C81*D81/100</f>
        <v>0</v>
      </c>
    </row>
    <row r="82" spans="1:6" s="9" customFormat="1" x14ac:dyDescent="0.2">
      <c r="A82" s="90" t="s">
        <v>3</v>
      </c>
      <c r="B82" s="104"/>
      <c r="C82" s="104"/>
      <c r="D82" s="105"/>
      <c r="E82" s="92">
        <f>SUM(E75:E81)</f>
        <v>2500</v>
      </c>
      <c r="F82" s="41"/>
    </row>
    <row r="83" spans="1:6" x14ac:dyDescent="0.2">
      <c r="A83" s="14" t="s">
        <v>4</v>
      </c>
      <c r="B83" s="15" t="s">
        <v>2</v>
      </c>
      <c r="C83" s="125">
        <f>'3.Enc Sociais'!$C$38*100</f>
        <v>69.355340000000012</v>
      </c>
      <c r="D83" s="16">
        <f>E82</f>
        <v>2500</v>
      </c>
      <c r="E83" s="16">
        <f>D83*C83/100</f>
        <v>1733.8835000000004</v>
      </c>
    </row>
    <row r="84" spans="1:6" s="9" customFormat="1" x14ac:dyDescent="0.2">
      <c r="A84" s="90" t="s">
        <v>382</v>
      </c>
      <c r="B84" s="220"/>
      <c r="C84" s="220"/>
      <c r="D84" s="221"/>
      <c r="E84" s="92">
        <f>E82+E83</f>
        <v>4233.8834999999999</v>
      </c>
      <c r="F84" s="41"/>
    </row>
    <row r="85" spans="1:6" ht="13.5" thickBot="1" x14ac:dyDescent="0.25">
      <c r="A85" s="14" t="s">
        <v>5</v>
      </c>
      <c r="B85" s="15" t="s">
        <v>6</v>
      </c>
      <c r="C85" s="75">
        <v>1</v>
      </c>
      <c r="D85" s="16">
        <f>E84</f>
        <v>4233.8834999999999</v>
      </c>
      <c r="E85" s="16">
        <f>C85*D85</f>
        <v>4233.8834999999999</v>
      </c>
    </row>
    <row r="86" spans="1:6" ht="13.5" thickBot="1" x14ac:dyDescent="0.25">
      <c r="A86" s="5" t="s">
        <v>467</v>
      </c>
      <c r="D86" s="109" t="s">
        <v>164</v>
      </c>
      <c r="E86" s="255">
        <f>30/44</f>
        <v>0.68181818181818177</v>
      </c>
      <c r="F86" s="110">
        <f>E85*E86</f>
        <v>2886.7387499999995</v>
      </c>
    </row>
    <row r="87" spans="1:6" x14ac:dyDescent="0.2">
      <c r="A87" s="5"/>
    </row>
    <row r="88" spans="1:6" ht="13.5" thickBot="1" x14ac:dyDescent="0.25">
      <c r="A88" s="5" t="s">
        <v>358</v>
      </c>
    </row>
    <row r="89" spans="1:6" ht="13.5" thickBot="1" x14ac:dyDescent="0.25">
      <c r="A89" s="55" t="s">
        <v>62</v>
      </c>
      <c r="B89" s="56" t="s">
        <v>63</v>
      </c>
      <c r="C89" s="56" t="s">
        <v>40</v>
      </c>
      <c r="D89" s="57" t="s">
        <v>194</v>
      </c>
      <c r="E89" s="57" t="s">
        <v>64</v>
      </c>
      <c r="F89" s="58" t="s">
        <v>65</v>
      </c>
    </row>
    <row r="90" spans="1:6" x14ac:dyDescent="0.2">
      <c r="A90" s="251" t="s">
        <v>341</v>
      </c>
      <c r="B90" s="12" t="s">
        <v>8</v>
      </c>
      <c r="C90" s="12">
        <v>1</v>
      </c>
      <c r="D90" s="253">
        <v>1968.4</v>
      </c>
      <c r="E90" s="13">
        <f>C90*D90</f>
        <v>1968.4</v>
      </c>
    </row>
    <row r="91" spans="1:6" x14ac:dyDescent="0.2">
      <c r="A91" s="251" t="s">
        <v>240</v>
      </c>
      <c r="B91" s="12" t="s">
        <v>8</v>
      </c>
      <c r="C91" s="12">
        <v>1</v>
      </c>
      <c r="D91" s="78">
        <v>1412</v>
      </c>
      <c r="E91" s="16"/>
    </row>
    <row r="92" spans="1:6" hidden="1" x14ac:dyDescent="0.2">
      <c r="A92" s="14" t="s">
        <v>7</v>
      </c>
      <c r="B92" s="15" t="s">
        <v>92</v>
      </c>
      <c r="C92" s="77">
        <v>0</v>
      </c>
      <c r="D92" s="14"/>
      <c r="E92" s="14"/>
    </row>
    <row r="93" spans="1:6" hidden="1" x14ac:dyDescent="0.2">
      <c r="A93" s="14"/>
      <c r="B93" s="15" t="s">
        <v>94</v>
      </c>
      <c r="C93" s="16">
        <f>C92*8/7</f>
        <v>0</v>
      </c>
      <c r="D93" s="16">
        <f>D90/220*0.2</f>
        <v>1.7894545454545456</v>
      </c>
      <c r="E93" s="16">
        <f>C92*D93</f>
        <v>0</v>
      </c>
    </row>
    <row r="94" spans="1:6" hidden="1" x14ac:dyDescent="0.2">
      <c r="A94" s="14" t="s">
        <v>34</v>
      </c>
      <c r="B94" s="15" t="s">
        <v>0</v>
      </c>
      <c r="C94" s="77"/>
      <c r="D94" s="16">
        <f>D90/220*2</f>
        <v>17.894545454545455</v>
      </c>
      <c r="E94" s="16">
        <f>C94*D94</f>
        <v>0</v>
      </c>
    </row>
    <row r="95" spans="1:6" hidden="1" x14ac:dyDescent="0.2">
      <c r="A95" s="14" t="s">
        <v>93</v>
      </c>
      <c r="B95" s="15" t="s">
        <v>92</v>
      </c>
      <c r="C95" s="77"/>
      <c r="D95" s="16"/>
      <c r="E95" s="16"/>
    </row>
    <row r="96" spans="1:6" hidden="1" x14ac:dyDescent="0.2">
      <c r="A96" s="14"/>
      <c r="B96" s="15" t="s">
        <v>94</v>
      </c>
      <c r="C96" s="16">
        <f>C95*8/7</f>
        <v>0</v>
      </c>
      <c r="D96" s="16">
        <f>D90/220*2*1.2</f>
        <v>21.473454545454544</v>
      </c>
      <c r="E96" s="16">
        <f>C96*D96</f>
        <v>0</v>
      </c>
    </row>
    <row r="97" spans="1:6" hidden="1" x14ac:dyDescent="0.2">
      <c r="A97" s="14" t="s">
        <v>35</v>
      </c>
      <c r="B97" s="15" t="s">
        <v>0</v>
      </c>
      <c r="C97" s="77"/>
      <c r="D97" s="16">
        <f>D90/220*1.5</f>
        <v>13.420909090909092</v>
      </c>
      <c r="E97" s="16">
        <f>C97*D97</f>
        <v>0</v>
      </c>
    </row>
    <row r="98" spans="1:6" hidden="1" x14ac:dyDescent="0.2">
      <c r="A98" s="14" t="s">
        <v>180</v>
      </c>
      <c r="B98" s="15" t="s">
        <v>92</v>
      </c>
      <c r="C98" s="77"/>
      <c r="D98" s="16"/>
      <c r="E98" s="16"/>
    </row>
    <row r="99" spans="1:6" hidden="1" x14ac:dyDescent="0.2">
      <c r="A99" s="14"/>
      <c r="B99" s="15" t="s">
        <v>94</v>
      </c>
      <c r="C99" s="16">
        <f>C98*8/7</f>
        <v>0</v>
      </c>
      <c r="D99" s="16">
        <f>D90/220*1.5*1.2</f>
        <v>16.105090909090908</v>
      </c>
      <c r="E99" s="16">
        <f>C99*D99</f>
        <v>0</v>
      </c>
    </row>
    <row r="100" spans="1:6" hidden="1" x14ac:dyDescent="0.2">
      <c r="A100" s="14" t="s">
        <v>181</v>
      </c>
      <c r="B100" s="15" t="s">
        <v>33</v>
      </c>
      <c r="D100" s="16">
        <f>63/302*(SUM(E94:E99))</f>
        <v>0</v>
      </c>
      <c r="E100" s="16">
        <f>D100</f>
        <v>0</v>
      </c>
    </row>
    <row r="101" spans="1:6" hidden="1" x14ac:dyDescent="0.2">
      <c r="A101" s="14" t="s">
        <v>179</v>
      </c>
      <c r="B101" s="15"/>
      <c r="C101" s="79">
        <v>1</v>
      </c>
      <c r="D101" s="16"/>
      <c r="E101" s="16"/>
    </row>
    <row r="102" spans="1:6" x14ac:dyDescent="0.2">
      <c r="A102" s="14" t="s">
        <v>1</v>
      </c>
      <c r="B102" s="15" t="s">
        <v>2</v>
      </c>
      <c r="C102" s="72">
        <v>40</v>
      </c>
      <c r="D102" s="72">
        <f>D91</f>
        <v>1412</v>
      </c>
      <c r="E102" s="16">
        <f>C102*D102/100</f>
        <v>564.79999999999995</v>
      </c>
    </row>
    <row r="103" spans="1:6" s="9" customFormat="1" x14ac:dyDescent="0.2">
      <c r="A103" s="103" t="s">
        <v>3</v>
      </c>
      <c r="B103" s="104"/>
      <c r="C103" s="104"/>
      <c r="D103" s="105"/>
      <c r="E103" s="106">
        <f>SUM(E90:E102)</f>
        <v>2533.1999999999998</v>
      </c>
      <c r="F103" s="41"/>
    </row>
    <row r="104" spans="1:6" x14ac:dyDescent="0.2">
      <c r="A104" s="14" t="s">
        <v>4</v>
      </c>
      <c r="B104" s="15" t="s">
        <v>2</v>
      </c>
      <c r="C104" s="125">
        <f>'3.Enc Sociais'!$C$38*100</f>
        <v>69.355340000000012</v>
      </c>
      <c r="D104" s="16">
        <f>E103</f>
        <v>2533.1999999999998</v>
      </c>
      <c r="E104" s="16">
        <f>D104*C104/100</f>
        <v>1756.9094728800003</v>
      </c>
    </row>
    <row r="105" spans="1:6" s="9" customFormat="1" x14ac:dyDescent="0.2">
      <c r="A105" s="103" t="s">
        <v>382</v>
      </c>
      <c r="B105" s="104"/>
      <c r="C105" s="104"/>
      <c r="D105" s="105"/>
      <c r="E105" s="106">
        <f>E103+E104</f>
        <v>4290.1094728799999</v>
      </c>
      <c r="F105" s="41"/>
    </row>
    <row r="106" spans="1:6" ht="13.5" thickBot="1" x14ac:dyDescent="0.25">
      <c r="A106" s="14" t="s">
        <v>5</v>
      </c>
      <c r="B106" s="15" t="s">
        <v>6</v>
      </c>
      <c r="C106" s="75">
        <v>2</v>
      </c>
      <c r="D106" s="16">
        <f>E105</f>
        <v>4290.1094728799999</v>
      </c>
      <c r="E106" s="16">
        <f>C106*D106</f>
        <v>8580.2189457599998</v>
      </c>
    </row>
    <row r="107" spans="1:6" ht="13.5" thickBot="1" x14ac:dyDescent="0.25">
      <c r="A107" s="5" t="s">
        <v>464</v>
      </c>
      <c r="D107" s="109" t="s">
        <v>164</v>
      </c>
      <c r="E107" s="255">
        <f>'7. Horários'!F30</f>
        <v>0.77272727272727271</v>
      </c>
      <c r="F107" s="110">
        <f>E106*E107</f>
        <v>6630.1691853599996</v>
      </c>
    </row>
    <row r="109" spans="1:6" ht="13.5" thickBot="1" x14ac:dyDescent="0.25">
      <c r="A109" s="5" t="s">
        <v>334</v>
      </c>
      <c r="B109" s="82"/>
      <c r="D109" s="7"/>
      <c r="E109" s="261"/>
    </row>
    <row r="110" spans="1:6" ht="13.5" thickBot="1" x14ac:dyDescent="0.25">
      <c r="A110" s="55" t="s">
        <v>62</v>
      </c>
      <c r="B110" s="56" t="s">
        <v>63</v>
      </c>
      <c r="C110" s="56" t="s">
        <v>40</v>
      </c>
      <c r="D110" s="57" t="s">
        <v>194</v>
      </c>
      <c r="E110" s="57" t="s">
        <v>64</v>
      </c>
      <c r="F110" s="58" t="s">
        <v>65</v>
      </c>
    </row>
    <row r="111" spans="1:6" x14ac:dyDescent="0.2">
      <c r="A111" s="14" t="s">
        <v>85</v>
      </c>
      <c r="B111" s="15" t="s">
        <v>33</v>
      </c>
      <c r="C111" s="83">
        <v>1</v>
      </c>
      <c r="D111" s="81">
        <v>4.68</v>
      </c>
      <c r="E111" s="16"/>
    </row>
    <row r="112" spans="1:6" x14ac:dyDescent="0.2">
      <c r="A112" s="14" t="s">
        <v>86</v>
      </c>
      <c r="B112" s="15" t="s">
        <v>87</v>
      </c>
      <c r="C112" s="80">
        <v>17</v>
      </c>
      <c r="D112" s="16"/>
      <c r="E112" s="16"/>
    </row>
    <row r="113" spans="1:8" x14ac:dyDescent="0.2">
      <c r="A113" s="14" t="s">
        <v>71</v>
      </c>
      <c r="B113" s="15" t="s">
        <v>9</v>
      </c>
      <c r="C113" s="34">
        <f>C70*C112*2</f>
        <v>204</v>
      </c>
      <c r="D113" s="13">
        <f>D111-(E56/50*0.06)</f>
        <v>2.5001159999999998</v>
      </c>
      <c r="E113" s="16">
        <f>IFERROR(C113*D113,"-")</f>
        <v>510.02366399999994</v>
      </c>
    </row>
    <row r="114" spans="1:8" ht="13.5" thickBot="1" x14ac:dyDescent="0.25">
      <c r="A114" s="11" t="s">
        <v>44</v>
      </c>
      <c r="B114" s="12" t="s">
        <v>9</v>
      </c>
      <c r="C114" s="34">
        <f>$C$112*2*(C106)</f>
        <v>68</v>
      </c>
      <c r="D114" s="13">
        <f>D111-(E75/50*0.06)</f>
        <v>1.6799999999999997</v>
      </c>
      <c r="E114" s="13">
        <f>IFERROR(C114*D114,"-")</f>
        <v>114.23999999999998</v>
      </c>
    </row>
    <row r="115" spans="1:8" ht="13.5" thickBot="1" x14ac:dyDescent="0.25">
      <c r="D115" s="109"/>
      <c r="E115" s="255"/>
      <c r="F115" s="20">
        <f>SUM(E113:E114)</f>
        <v>624.26366399999995</v>
      </c>
    </row>
    <row r="117" spans="1:8" ht="13.5" thickBot="1" x14ac:dyDescent="0.25">
      <c r="A117" s="5" t="s">
        <v>386</v>
      </c>
      <c r="F117" s="21"/>
    </row>
    <row r="118" spans="1:8" ht="13.5" thickBot="1" x14ac:dyDescent="0.25">
      <c r="A118" s="55" t="s">
        <v>62</v>
      </c>
      <c r="B118" s="56" t="s">
        <v>63</v>
      </c>
      <c r="C118" s="56" t="s">
        <v>40</v>
      </c>
      <c r="D118" s="57" t="s">
        <v>194</v>
      </c>
      <c r="E118" s="57" t="s">
        <v>64</v>
      </c>
      <c r="F118" s="58" t="s">
        <v>65</v>
      </c>
    </row>
    <row r="119" spans="1:8" x14ac:dyDescent="0.2">
      <c r="A119" s="14" t="str">
        <f>+A113</f>
        <v>Coletor</v>
      </c>
      <c r="B119" s="15" t="s">
        <v>10</v>
      </c>
      <c r="C119" s="89">
        <f>C112*(E42)</f>
        <v>102</v>
      </c>
      <c r="D119" s="78">
        <f>23.68*0.81</f>
        <v>19.180800000000001</v>
      </c>
      <c r="E119" s="47">
        <f>C119*D119</f>
        <v>1956.4416000000001</v>
      </c>
      <c r="F119" s="21"/>
      <c r="H119" s="74"/>
    </row>
    <row r="120" spans="1:8" hidden="1" x14ac:dyDescent="0.2">
      <c r="A120" s="259" t="s">
        <v>44</v>
      </c>
      <c r="B120" s="15" t="s">
        <v>10</v>
      </c>
      <c r="C120" s="89">
        <f>C112*(E44)</f>
        <v>34</v>
      </c>
      <c r="D120" s="78">
        <v>0</v>
      </c>
      <c r="E120" s="47">
        <f>C120*D120</f>
        <v>0</v>
      </c>
      <c r="F120" s="21"/>
    </row>
    <row r="121" spans="1:8" ht="13.5" thickBot="1" x14ac:dyDescent="0.25">
      <c r="A121" s="259" t="s">
        <v>300</v>
      </c>
      <c r="B121" s="15" t="s">
        <v>10</v>
      </c>
      <c r="C121" s="89">
        <v>17</v>
      </c>
      <c r="D121" s="78">
        <f>23.68*0.81</f>
        <v>19.180800000000001</v>
      </c>
      <c r="E121" s="47">
        <f>C121*D121</f>
        <v>326.0736</v>
      </c>
      <c r="F121" s="21"/>
    </row>
    <row r="122" spans="1:8" ht="13.5" thickBot="1" x14ac:dyDescent="0.25">
      <c r="D122" s="109"/>
      <c r="E122" s="255"/>
      <c r="F122" s="20">
        <f>SUM(E119:E121)</f>
        <v>2282.5152000000003</v>
      </c>
    </row>
    <row r="124" spans="1:8" ht="13.5" thickBot="1" x14ac:dyDescent="0.25">
      <c r="A124" s="5" t="s">
        <v>439</v>
      </c>
      <c r="F124" s="21"/>
    </row>
    <row r="125" spans="1:8" ht="13.5" thickBot="1" x14ac:dyDescent="0.25">
      <c r="A125" s="55" t="s">
        <v>62</v>
      </c>
      <c r="B125" s="56" t="s">
        <v>63</v>
      </c>
      <c r="C125" s="56" t="s">
        <v>40</v>
      </c>
      <c r="D125" s="57" t="s">
        <v>194</v>
      </c>
      <c r="E125" s="57" t="s">
        <v>64</v>
      </c>
      <c r="F125" s="58" t="s">
        <v>65</v>
      </c>
    </row>
    <row r="126" spans="1:8" ht="13.5" thickBot="1" x14ac:dyDescent="0.25">
      <c r="A126" s="14" t="str">
        <f>A120</f>
        <v>Motorista</v>
      </c>
      <c r="B126" s="15" t="s">
        <v>10</v>
      </c>
      <c r="C126" s="89">
        <f>E44</f>
        <v>2</v>
      </c>
      <c r="D126" s="78">
        <v>333</v>
      </c>
      <c r="E126" s="47">
        <f>C126*D126</f>
        <v>666</v>
      </c>
      <c r="F126" s="21"/>
    </row>
    <row r="127" spans="1:8" ht="13.5" thickBot="1" x14ac:dyDescent="0.25">
      <c r="D127" s="109" t="s">
        <v>164</v>
      </c>
      <c r="E127" s="255">
        <f>E107</f>
        <v>0.77272727272727271</v>
      </c>
      <c r="F127" s="20">
        <f>SUM(E126:E126)*E127</f>
        <v>514.63636363636363</v>
      </c>
    </row>
    <row r="128" spans="1:8" x14ac:dyDescent="0.2">
      <c r="D128" s="109"/>
      <c r="E128" s="279"/>
    </row>
    <row r="129" spans="1:6" ht="13.5" thickBot="1" x14ac:dyDescent="0.25">
      <c r="A129" s="5" t="s">
        <v>336</v>
      </c>
      <c r="B129" s="5"/>
      <c r="C129" s="5"/>
      <c r="D129" s="264"/>
      <c r="E129" s="264"/>
      <c r="F129" s="21"/>
    </row>
    <row r="130" spans="1:6" ht="13.5" thickBot="1" x14ac:dyDescent="0.25">
      <c r="A130" s="55" t="s">
        <v>62</v>
      </c>
      <c r="B130" s="56" t="s">
        <v>63</v>
      </c>
      <c r="C130" s="56" t="s">
        <v>40</v>
      </c>
      <c r="D130" s="57" t="s">
        <v>194</v>
      </c>
      <c r="E130" s="57" t="s">
        <v>64</v>
      </c>
      <c r="F130" s="58" t="s">
        <v>65</v>
      </c>
    </row>
    <row r="131" spans="1:6" ht="13.5" thickBot="1" x14ac:dyDescent="0.25">
      <c r="A131" s="259" t="s">
        <v>307</v>
      </c>
      <c r="B131" s="278" t="s">
        <v>10</v>
      </c>
      <c r="C131" s="280">
        <f>C70</f>
        <v>6</v>
      </c>
      <c r="D131" s="281">
        <v>19.420000000000002</v>
      </c>
      <c r="E131" s="282">
        <f>C131*D131</f>
        <v>116.52000000000001</v>
      </c>
      <c r="F131" s="21"/>
    </row>
    <row r="132" spans="1:6" ht="13.5" thickBot="1" x14ac:dyDescent="0.25">
      <c r="A132" s="283"/>
      <c r="B132" s="283"/>
      <c r="C132" s="5"/>
      <c r="D132" s="266" t="s">
        <v>306</v>
      </c>
      <c r="E132" s="288">
        <f>E71</f>
        <v>0.63636363636363635</v>
      </c>
      <c r="F132" s="284">
        <f>SUM(E131:E131)*E132</f>
        <v>74.149090909090916</v>
      </c>
    </row>
    <row r="133" spans="1:6" ht="13.5" thickBot="1" x14ac:dyDescent="0.25">
      <c r="D133" s="109"/>
      <c r="E133" s="279"/>
    </row>
    <row r="134" spans="1:6" ht="13.5" thickBot="1" x14ac:dyDescent="0.25">
      <c r="A134" s="22" t="s">
        <v>88</v>
      </c>
      <c r="B134" s="23"/>
      <c r="C134" s="23"/>
      <c r="D134" s="24"/>
      <c r="E134" s="25"/>
      <c r="F134" s="20">
        <f>F127+F122+F115+F107+F86+F71+F132</f>
        <v>29457.540256675853</v>
      </c>
    </row>
    <row r="136" spans="1:6" x14ac:dyDescent="0.2">
      <c r="A136" s="9" t="s">
        <v>45</v>
      </c>
    </row>
    <row r="137" spans="1:6" ht="13.5" thickBot="1" x14ac:dyDescent="0.25">
      <c r="A137" s="7" t="s">
        <v>166</v>
      </c>
    </row>
    <row r="138" spans="1:6" ht="24.75" thickBot="1" x14ac:dyDescent="0.25">
      <c r="A138" s="55" t="s">
        <v>62</v>
      </c>
      <c r="B138" s="56" t="s">
        <v>63</v>
      </c>
      <c r="C138" s="222" t="s">
        <v>204</v>
      </c>
      <c r="D138" s="57" t="s">
        <v>194</v>
      </c>
      <c r="E138" s="57" t="s">
        <v>64</v>
      </c>
      <c r="F138" s="58" t="s">
        <v>65</v>
      </c>
    </row>
    <row r="139" spans="1:6" x14ac:dyDescent="0.2">
      <c r="A139" s="251" t="s">
        <v>66</v>
      </c>
      <c r="B139" s="292" t="s">
        <v>10</v>
      </c>
      <c r="C139" s="258">
        <v>12</v>
      </c>
      <c r="D139" s="253">
        <v>155</v>
      </c>
      <c r="E139" s="289">
        <f>IFERROR(D139/C139,0)</f>
        <v>12.916666666666666</v>
      </c>
    </row>
    <row r="140" spans="1:6" x14ac:dyDescent="0.2">
      <c r="A140" s="259" t="s">
        <v>29</v>
      </c>
      <c r="B140" s="278" t="s">
        <v>10</v>
      </c>
      <c r="C140" s="258">
        <v>6</v>
      </c>
      <c r="D140" s="257">
        <v>70</v>
      </c>
      <c r="E140" s="289">
        <f t="shared" ref="E140:E150" si="2">IFERROR(D140/C140,0)</f>
        <v>11.666666666666666</v>
      </c>
    </row>
    <row r="141" spans="1:6" x14ac:dyDescent="0.2">
      <c r="A141" s="259" t="s">
        <v>339</v>
      </c>
      <c r="B141" s="278" t="s">
        <v>10</v>
      </c>
      <c r="C141" s="258">
        <v>6</v>
      </c>
      <c r="D141" s="257">
        <v>56</v>
      </c>
      <c r="E141" s="289">
        <f t="shared" si="2"/>
        <v>9.3333333333333339</v>
      </c>
    </row>
    <row r="142" spans="1:6" x14ac:dyDescent="0.2">
      <c r="A142" s="259" t="s">
        <v>340</v>
      </c>
      <c r="B142" s="278" t="s">
        <v>10</v>
      </c>
      <c r="C142" s="258">
        <v>4</v>
      </c>
      <c r="D142" s="257">
        <v>43</v>
      </c>
      <c r="E142" s="289">
        <f t="shared" si="2"/>
        <v>10.75</v>
      </c>
    </row>
    <row r="143" spans="1:6" x14ac:dyDescent="0.2">
      <c r="A143" s="259" t="s">
        <v>374</v>
      </c>
      <c r="B143" s="278" t="s">
        <v>10</v>
      </c>
      <c r="C143" s="258">
        <v>4</v>
      </c>
      <c r="D143" s="257">
        <v>40</v>
      </c>
      <c r="E143" s="289">
        <f t="shared" si="2"/>
        <v>10</v>
      </c>
    </row>
    <row r="144" spans="1:6" x14ac:dyDescent="0.2">
      <c r="A144" s="259" t="s">
        <v>31</v>
      </c>
      <c r="B144" s="278" t="s">
        <v>10</v>
      </c>
      <c r="C144" s="258">
        <v>6</v>
      </c>
      <c r="D144" s="257">
        <v>20</v>
      </c>
      <c r="E144" s="289">
        <f t="shared" si="2"/>
        <v>3.3333333333333335</v>
      </c>
    </row>
    <row r="145" spans="1:6" x14ac:dyDescent="0.2">
      <c r="A145" s="259" t="s">
        <v>375</v>
      </c>
      <c r="B145" s="278" t="s">
        <v>48</v>
      </c>
      <c r="C145" s="258">
        <v>6</v>
      </c>
      <c r="D145" s="257">
        <v>54</v>
      </c>
      <c r="E145" s="289">
        <f t="shared" si="2"/>
        <v>9</v>
      </c>
    </row>
    <row r="146" spans="1:6" x14ac:dyDescent="0.2">
      <c r="A146" s="259" t="s">
        <v>89</v>
      </c>
      <c r="B146" s="278" t="s">
        <v>48</v>
      </c>
      <c r="C146" s="258">
        <v>2</v>
      </c>
      <c r="D146" s="257">
        <v>10</v>
      </c>
      <c r="E146" s="289">
        <f t="shared" si="2"/>
        <v>5</v>
      </c>
    </row>
    <row r="147" spans="1:6" x14ac:dyDescent="0.2">
      <c r="A147" s="259" t="s">
        <v>67</v>
      </c>
      <c r="B147" s="278" t="s">
        <v>10</v>
      </c>
      <c r="C147" s="258">
        <v>6</v>
      </c>
      <c r="D147" s="257">
        <v>80</v>
      </c>
      <c r="E147" s="289">
        <f t="shared" si="2"/>
        <v>13.333333333333334</v>
      </c>
    </row>
    <row r="148" spans="1:6" s="1" customFormat="1" x14ac:dyDescent="0.2">
      <c r="A148" s="276" t="s">
        <v>11</v>
      </c>
      <c r="B148" s="361" t="s">
        <v>10</v>
      </c>
      <c r="C148" s="258">
        <v>6</v>
      </c>
      <c r="D148" s="257">
        <v>25</v>
      </c>
      <c r="E148" s="289">
        <f t="shared" si="2"/>
        <v>4.166666666666667</v>
      </c>
      <c r="F148" s="35"/>
    </row>
    <row r="149" spans="1:6" x14ac:dyDescent="0.2">
      <c r="A149" s="259" t="s">
        <v>32</v>
      </c>
      <c r="B149" s="278" t="s">
        <v>48</v>
      </c>
      <c r="C149" s="362">
        <v>0.5</v>
      </c>
      <c r="D149" s="257">
        <v>10</v>
      </c>
      <c r="E149" s="289">
        <f t="shared" si="2"/>
        <v>20</v>
      </c>
    </row>
    <row r="150" spans="1:6" x14ac:dyDescent="0.2">
      <c r="A150" s="259" t="s">
        <v>61</v>
      </c>
      <c r="B150" s="278" t="s">
        <v>49</v>
      </c>
      <c r="C150" s="258">
        <v>1</v>
      </c>
      <c r="D150" s="257">
        <v>25</v>
      </c>
      <c r="E150" s="289">
        <f t="shared" si="2"/>
        <v>25</v>
      </c>
    </row>
    <row r="151" spans="1:6" ht="13.5" thickBot="1" x14ac:dyDescent="0.25">
      <c r="A151" s="14" t="s">
        <v>5</v>
      </c>
      <c r="B151" s="15" t="s">
        <v>6</v>
      </c>
      <c r="C151" s="64">
        <f>+E42</f>
        <v>6</v>
      </c>
      <c r="D151" s="16">
        <f>+SUM(E139:E150)</f>
        <v>134.5</v>
      </c>
      <c r="E151" s="16">
        <f t="shared" ref="E151" si="3">C151*D151</f>
        <v>807</v>
      </c>
    </row>
    <row r="152" spans="1:6" ht="13.5" thickBot="1" x14ac:dyDescent="0.25">
      <c r="D152" s="109" t="s">
        <v>164</v>
      </c>
      <c r="E152" s="255">
        <f>$B$51</f>
        <v>0.63636363636363635</v>
      </c>
      <c r="F152" s="110">
        <f>E151*E152</f>
        <v>513.5454545454545</v>
      </c>
    </row>
    <row r="154" spans="1:6" ht="13.5" thickBot="1" x14ac:dyDescent="0.25">
      <c r="A154" s="7" t="s">
        <v>167</v>
      </c>
    </row>
    <row r="155" spans="1:6" ht="24.75" thickBot="1" x14ac:dyDescent="0.25">
      <c r="A155" s="55" t="s">
        <v>62</v>
      </c>
      <c r="B155" s="56" t="s">
        <v>63</v>
      </c>
      <c r="C155" s="222" t="s">
        <v>204</v>
      </c>
      <c r="D155" s="57" t="s">
        <v>194</v>
      </c>
      <c r="E155" s="57" t="s">
        <v>64</v>
      </c>
      <c r="F155" s="58" t="s">
        <v>65</v>
      </c>
    </row>
    <row r="156" spans="1:6" x14ac:dyDescent="0.2">
      <c r="A156" s="11" t="s">
        <v>66</v>
      </c>
      <c r="B156" s="12" t="s">
        <v>10</v>
      </c>
      <c r="C156" s="260">
        <f>C139</f>
        <v>12</v>
      </c>
      <c r="D156" s="13">
        <f>+D139</f>
        <v>155</v>
      </c>
      <c r="E156" s="13">
        <f>IFERROR(D156/C156,0)</f>
        <v>12.916666666666666</v>
      </c>
    </row>
    <row r="157" spans="1:6" x14ac:dyDescent="0.2">
      <c r="A157" s="14" t="s">
        <v>29</v>
      </c>
      <c r="B157" s="15" t="s">
        <v>10</v>
      </c>
      <c r="C157" s="260">
        <f>C140</f>
        <v>6</v>
      </c>
      <c r="D157" s="16">
        <f>+D140</f>
        <v>70</v>
      </c>
      <c r="E157" s="13">
        <f t="shared" ref="E157:E161" si="4">IFERROR(D157/C157,0)</f>
        <v>11.666666666666666</v>
      </c>
    </row>
    <row r="158" spans="1:6" x14ac:dyDescent="0.2">
      <c r="A158" s="14" t="s">
        <v>30</v>
      </c>
      <c r="B158" s="15" t="s">
        <v>10</v>
      </c>
      <c r="C158" s="260">
        <f>C142</f>
        <v>4</v>
      </c>
      <c r="D158" s="16">
        <f>+D142</f>
        <v>43</v>
      </c>
      <c r="E158" s="13">
        <f t="shared" si="4"/>
        <v>10.75</v>
      </c>
    </row>
    <row r="159" spans="1:6" x14ac:dyDescent="0.2">
      <c r="A159" s="14" t="str">
        <f>A145</f>
        <v xml:space="preserve">Botina de segurança c/ palmilha aço, ou tênis </v>
      </c>
      <c r="B159" s="15" t="s">
        <v>48</v>
      </c>
      <c r="C159" s="260">
        <f>C145</f>
        <v>6</v>
      </c>
      <c r="D159" s="16">
        <f>+D145</f>
        <v>54</v>
      </c>
      <c r="E159" s="13">
        <f t="shared" si="4"/>
        <v>9</v>
      </c>
    </row>
    <row r="160" spans="1:6" x14ac:dyDescent="0.2">
      <c r="A160" s="14" t="s">
        <v>67</v>
      </c>
      <c r="B160" s="15" t="s">
        <v>10</v>
      </c>
      <c r="C160" s="260">
        <f>C147</f>
        <v>6</v>
      </c>
      <c r="D160" s="16">
        <f>+D147</f>
        <v>80</v>
      </c>
      <c r="E160" s="13">
        <f t="shared" si="4"/>
        <v>13.333333333333334</v>
      </c>
    </row>
    <row r="161" spans="1:6" x14ac:dyDescent="0.2">
      <c r="A161" s="14" t="s">
        <v>61</v>
      </c>
      <c r="B161" s="15" t="s">
        <v>49</v>
      </c>
      <c r="C161" s="260">
        <f>C150</f>
        <v>1</v>
      </c>
      <c r="D161" s="16">
        <f>+D150</f>
        <v>25</v>
      </c>
      <c r="E161" s="13">
        <f t="shared" si="4"/>
        <v>25</v>
      </c>
    </row>
    <row r="162" spans="1:6" ht="13.5" thickBot="1" x14ac:dyDescent="0.25">
      <c r="A162" s="14" t="s">
        <v>5</v>
      </c>
      <c r="B162" s="15" t="s">
        <v>6</v>
      </c>
      <c r="C162" s="64">
        <f>E44</f>
        <v>2</v>
      </c>
      <c r="D162" s="16">
        <f>+SUM(E156:E161)</f>
        <v>82.666666666666657</v>
      </c>
      <c r="E162" s="16">
        <f t="shared" ref="E162" si="5">C162*D162</f>
        <v>165.33333333333331</v>
      </c>
    </row>
    <row r="163" spans="1:6" ht="13.5" thickBot="1" x14ac:dyDescent="0.25">
      <c r="D163" s="109" t="s">
        <v>164</v>
      </c>
      <c r="E163" s="255">
        <f>E107</f>
        <v>0.77272727272727271</v>
      </c>
      <c r="F163" s="110">
        <f>E162*E163</f>
        <v>127.75757575757574</v>
      </c>
    </row>
    <row r="164" spans="1:6" ht="13.5" thickBot="1" x14ac:dyDescent="0.25"/>
    <row r="165" spans="1:6" ht="13.5" thickBot="1" x14ac:dyDescent="0.25">
      <c r="A165" s="22" t="s">
        <v>168</v>
      </c>
      <c r="B165" s="26"/>
      <c r="C165" s="26"/>
      <c r="D165" s="27"/>
      <c r="E165" s="28"/>
      <c r="F165" s="19">
        <f>+F152+F163</f>
        <v>641.30303030303025</v>
      </c>
    </row>
    <row r="167" spans="1:6" x14ac:dyDescent="0.2">
      <c r="A167" s="9" t="s">
        <v>54</v>
      </c>
    </row>
    <row r="168" spans="1:6" x14ac:dyDescent="0.2">
      <c r="A168" s="5" t="s">
        <v>296</v>
      </c>
    </row>
    <row r="169" spans="1:6" ht="13.5" thickBot="1" x14ac:dyDescent="0.25">
      <c r="A169" s="94" t="s">
        <v>46</v>
      </c>
    </row>
    <row r="170" spans="1:6" ht="13.5" thickBot="1" x14ac:dyDescent="0.25">
      <c r="A170" s="55" t="s">
        <v>62</v>
      </c>
      <c r="B170" s="56" t="s">
        <v>63</v>
      </c>
      <c r="C170" s="56" t="s">
        <v>40</v>
      </c>
      <c r="D170" s="57" t="s">
        <v>194</v>
      </c>
      <c r="E170" s="57" t="s">
        <v>64</v>
      </c>
      <c r="F170" s="58" t="s">
        <v>65</v>
      </c>
    </row>
    <row r="171" spans="1:6" x14ac:dyDescent="0.2">
      <c r="A171" s="11" t="s">
        <v>98</v>
      </c>
      <c r="B171" s="12" t="s">
        <v>10</v>
      </c>
      <c r="C171" s="12">
        <v>1</v>
      </c>
      <c r="D171" s="76">
        <v>450000</v>
      </c>
      <c r="E171" s="13">
        <f>C171*D171</f>
        <v>450000</v>
      </c>
    </row>
    <row r="172" spans="1:6" x14ac:dyDescent="0.2">
      <c r="A172" s="14" t="s">
        <v>95</v>
      </c>
      <c r="B172" s="15" t="s">
        <v>96</v>
      </c>
      <c r="C172" s="75">
        <v>10</v>
      </c>
      <c r="D172" s="72"/>
      <c r="E172" s="16"/>
    </row>
    <row r="173" spans="1:6" x14ac:dyDescent="0.2">
      <c r="A173" s="14" t="s">
        <v>174</v>
      </c>
      <c r="B173" s="15" t="s">
        <v>96</v>
      </c>
      <c r="C173" s="75">
        <v>0</v>
      </c>
      <c r="D173" s="16"/>
      <c r="E173" s="16"/>
      <c r="F173" s="18"/>
    </row>
    <row r="174" spans="1:6" x14ac:dyDescent="0.2">
      <c r="A174" s="14" t="s">
        <v>97</v>
      </c>
      <c r="B174" s="15" t="s">
        <v>2</v>
      </c>
      <c r="C174" s="125">
        <f>IFERROR(VLOOKUP(C172,'8. Depr'!A3:B17,2,FALSE),0)</f>
        <v>65.180000000000007</v>
      </c>
      <c r="D174" s="16">
        <f>E171</f>
        <v>450000</v>
      </c>
      <c r="E174" s="16">
        <f>C174*D174/100</f>
        <v>293310.00000000006</v>
      </c>
    </row>
    <row r="175" spans="1:6" ht="13.5" thickBot="1" x14ac:dyDescent="0.25">
      <c r="A175" s="229" t="s">
        <v>50</v>
      </c>
      <c r="B175" s="230" t="s">
        <v>8</v>
      </c>
      <c r="C175" s="230">
        <f>C172*12</f>
        <v>120</v>
      </c>
      <c r="D175" s="231">
        <f>IF(C173&lt;=C172,E174,0)</f>
        <v>293310.00000000006</v>
      </c>
      <c r="E175" s="231">
        <f>IFERROR(D175/C175,0)</f>
        <v>2444.2500000000005</v>
      </c>
    </row>
    <row r="176" spans="1:6" ht="13.5" thickTop="1" x14ac:dyDescent="0.2">
      <c r="A176" s="251" t="s">
        <v>297</v>
      </c>
      <c r="B176" s="12" t="s">
        <v>10</v>
      </c>
      <c r="C176" s="12">
        <f>C171</f>
        <v>1</v>
      </c>
      <c r="D176" s="76">
        <v>150000</v>
      </c>
      <c r="E176" s="13">
        <f>C176*D176</f>
        <v>150000</v>
      </c>
    </row>
    <row r="177" spans="1:6" x14ac:dyDescent="0.2">
      <c r="A177" s="259" t="s">
        <v>95</v>
      </c>
      <c r="B177" s="15" t="s">
        <v>96</v>
      </c>
      <c r="C177" s="75">
        <v>10</v>
      </c>
      <c r="D177" s="16"/>
      <c r="E177" s="16"/>
    </row>
    <row r="178" spans="1:6" x14ac:dyDescent="0.2">
      <c r="A178" s="259" t="s">
        <v>298</v>
      </c>
      <c r="B178" s="15" t="s">
        <v>96</v>
      </c>
      <c r="C178" s="75">
        <v>0</v>
      </c>
      <c r="D178" s="16"/>
      <c r="E178" s="16"/>
      <c r="F178" s="18"/>
    </row>
    <row r="179" spans="1:6" x14ac:dyDescent="0.2">
      <c r="A179" s="259" t="s">
        <v>97</v>
      </c>
      <c r="B179" s="15" t="s">
        <v>2</v>
      </c>
      <c r="C179" s="126">
        <f>IFERROR(VLOOKUP(C177,'8. Depr'!A3:B17,2,FALSE),0)</f>
        <v>65.180000000000007</v>
      </c>
      <c r="D179" s="16">
        <f>E176</f>
        <v>150000</v>
      </c>
      <c r="E179" s="16">
        <f>C179*D179/100</f>
        <v>97770.000000000015</v>
      </c>
    </row>
    <row r="180" spans="1:6" x14ac:dyDescent="0.2">
      <c r="A180" s="90" t="s">
        <v>299</v>
      </c>
      <c r="B180" s="91" t="s">
        <v>8</v>
      </c>
      <c r="C180" s="91">
        <f>C177*12</f>
        <v>120</v>
      </c>
      <c r="D180" s="92">
        <f>IF(C178&lt;=C177,E179,0)</f>
        <v>97770.000000000015</v>
      </c>
      <c r="E180" s="92">
        <f>IFERROR(D180/C180,0)</f>
        <v>814.75000000000011</v>
      </c>
    </row>
    <row r="181" spans="1:6" x14ac:dyDescent="0.2">
      <c r="A181" s="90" t="s">
        <v>323</v>
      </c>
      <c r="B181" s="91" t="s">
        <v>8</v>
      </c>
      <c r="C181" s="91">
        <v>1</v>
      </c>
      <c r="D181" s="92">
        <f>IF(C179&lt;=C178,E180,0)</f>
        <v>0</v>
      </c>
      <c r="E181" s="92">
        <f>(E175+E180)*0.1</f>
        <v>325.90000000000009</v>
      </c>
    </row>
    <row r="182" spans="1:6" x14ac:dyDescent="0.2">
      <c r="A182" s="103" t="s">
        <v>207</v>
      </c>
      <c r="B182" s="104"/>
      <c r="C182" s="104"/>
      <c r="D182" s="105"/>
      <c r="E182" s="106">
        <f>E175+E180+E181</f>
        <v>3584.9000000000005</v>
      </c>
    </row>
    <row r="183" spans="1:6" ht="13.5" thickBot="1" x14ac:dyDescent="0.25">
      <c r="A183" s="90" t="s">
        <v>208</v>
      </c>
      <c r="B183" s="91" t="s">
        <v>10</v>
      </c>
      <c r="C183" s="75">
        <v>2</v>
      </c>
      <c r="D183" s="92">
        <f>E182</f>
        <v>3584.9000000000005</v>
      </c>
      <c r="E183" s="106">
        <f>C183*D183</f>
        <v>7169.8000000000011</v>
      </c>
    </row>
    <row r="184" spans="1:6" ht="13.5" thickBot="1" x14ac:dyDescent="0.25">
      <c r="A184" s="227"/>
      <c r="B184" s="227"/>
      <c r="C184" s="227"/>
      <c r="D184" s="109" t="s">
        <v>164</v>
      </c>
      <c r="E184" s="255">
        <v>0.7</v>
      </c>
      <c r="F184" s="19">
        <f>E183*E184</f>
        <v>5018.8600000000006</v>
      </c>
    </row>
    <row r="186" spans="1:6" ht="13.5" thickBot="1" x14ac:dyDescent="0.25">
      <c r="A186" s="94" t="s">
        <v>102</v>
      </c>
    </row>
    <row r="187" spans="1:6" ht="13.5" thickBot="1" x14ac:dyDescent="0.25">
      <c r="A187" s="96" t="s">
        <v>62</v>
      </c>
      <c r="B187" s="97" t="s">
        <v>63</v>
      </c>
      <c r="C187" s="97" t="s">
        <v>40</v>
      </c>
      <c r="D187" s="57" t="s">
        <v>194</v>
      </c>
      <c r="E187" s="98" t="s">
        <v>64</v>
      </c>
      <c r="F187" s="58" t="s">
        <v>65</v>
      </c>
    </row>
    <row r="188" spans="1:6" x14ac:dyDescent="0.2">
      <c r="A188" s="14" t="s">
        <v>101</v>
      </c>
      <c r="B188" s="15" t="s">
        <v>10</v>
      </c>
      <c r="C188" s="15">
        <v>1</v>
      </c>
      <c r="D188" s="16">
        <f>D171</f>
        <v>450000</v>
      </c>
      <c r="E188" s="16">
        <f>C188*D188</f>
        <v>450000</v>
      </c>
      <c r="F188" s="18"/>
    </row>
    <row r="189" spans="1:6" x14ac:dyDescent="0.2">
      <c r="A189" s="14" t="s">
        <v>177</v>
      </c>
      <c r="B189" s="15" t="s">
        <v>2</v>
      </c>
      <c r="C189" s="77">
        <v>10.5</v>
      </c>
      <c r="D189" s="16"/>
      <c r="E189" s="16"/>
      <c r="F189" s="18"/>
    </row>
    <row r="190" spans="1:6" x14ac:dyDescent="0.2">
      <c r="A190" s="14" t="s">
        <v>175</v>
      </c>
      <c r="B190" s="15" t="s">
        <v>33</v>
      </c>
      <c r="C190" s="131">
        <f>IFERROR(IF(C173&lt;=C172,E171-(C174/(100*C172)*C173)*E171,E171-E174),0)</f>
        <v>450000</v>
      </c>
      <c r="D190" s="16"/>
      <c r="E190" s="16"/>
      <c r="F190" s="18"/>
    </row>
    <row r="191" spans="1:6" x14ac:dyDescent="0.2">
      <c r="A191" s="14" t="s">
        <v>104</v>
      </c>
      <c r="B191" s="15" t="s">
        <v>33</v>
      </c>
      <c r="C191" s="72">
        <f>IFERROR(IF(C173&gt;=C172,C190,((((C190)-(E171-E174))*(((C172-C173)+1)/(2*(C172-C173))))+(E171-E174))),0)</f>
        <v>318010.5</v>
      </c>
      <c r="D191" s="16"/>
      <c r="E191" s="16"/>
      <c r="F191" s="18"/>
    </row>
    <row r="192" spans="1:6" ht="13.5" thickBot="1" x14ac:dyDescent="0.25">
      <c r="A192" s="229" t="s">
        <v>105</v>
      </c>
      <c r="B192" s="230" t="s">
        <v>33</v>
      </c>
      <c r="C192" s="230"/>
      <c r="D192" s="232">
        <f>C189*C191/12/100</f>
        <v>2782.5918750000001</v>
      </c>
      <c r="E192" s="231">
        <f>D192</f>
        <v>2782.5918750000001</v>
      </c>
      <c r="F192" s="18"/>
    </row>
    <row r="193" spans="1:6" ht="13.5" thickTop="1" x14ac:dyDescent="0.2">
      <c r="A193" s="251" t="s">
        <v>297</v>
      </c>
      <c r="B193" s="12" t="s">
        <v>10</v>
      </c>
      <c r="C193" s="12">
        <f>C176</f>
        <v>1</v>
      </c>
      <c r="D193" s="13">
        <f>D176</f>
        <v>150000</v>
      </c>
      <c r="E193" s="13">
        <f>C193*D193</f>
        <v>150000</v>
      </c>
      <c r="F193" s="18"/>
    </row>
    <row r="194" spans="1:6" x14ac:dyDescent="0.2">
      <c r="A194" s="259" t="s">
        <v>177</v>
      </c>
      <c r="B194" s="15" t="s">
        <v>2</v>
      </c>
      <c r="C194" s="77">
        <f>C189</f>
        <v>10.5</v>
      </c>
      <c r="D194" s="16"/>
      <c r="E194" s="16"/>
      <c r="F194" s="18"/>
    </row>
    <row r="195" spans="1:6" x14ac:dyDescent="0.2">
      <c r="A195" s="14" t="s">
        <v>176</v>
      </c>
      <c r="B195" s="15" t="s">
        <v>33</v>
      </c>
      <c r="C195" s="131">
        <f>IFERROR(IF(C178&lt;=C177,E176-(C179/(100*C177)*C178)*E176,E176-E179),0)</f>
        <v>150000</v>
      </c>
      <c r="D195" s="16"/>
      <c r="E195" s="16"/>
      <c r="F195" s="18"/>
    </row>
    <row r="196" spans="1:6" x14ac:dyDescent="0.2">
      <c r="A196" s="259" t="s">
        <v>320</v>
      </c>
      <c r="B196" s="15" t="s">
        <v>33</v>
      </c>
      <c r="C196" s="72">
        <f>IFERROR(IF(C178&gt;=C177,C195,((((C195)-(E176-E179))*(((C177-C178)+1)/(2*(C177-C178))))+(E176-E179))),0)</f>
        <v>106003.5</v>
      </c>
      <c r="D196" s="16"/>
      <c r="E196" s="16"/>
      <c r="F196" s="18"/>
    </row>
    <row r="197" spans="1:6" x14ac:dyDescent="0.2">
      <c r="A197" s="90" t="s">
        <v>321</v>
      </c>
      <c r="B197" s="91" t="s">
        <v>33</v>
      </c>
      <c r="C197" s="91"/>
      <c r="D197" s="100">
        <f>C194*C196/12/100</f>
        <v>927.53062499999999</v>
      </c>
      <c r="E197" s="92">
        <f>D197</f>
        <v>927.53062499999999</v>
      </c>
      <c r="F197" s="18"/>
    </row>
    <row r="198" spans="1:6" x14ac:dyDescent="0.2">
      <c r="A198" s="90" t="s">
        <v>323</v>
      </c>
      <c r="B198" s="91" t="s">
        <v>8</v>
      </c>
      <c r="C198" s="91">
        <v>1</v>
      </c>
      <c r="D198" s="92"/>
      <c r="E198" s="92">
        <f>(E192+E197)*0.1</f>
        <v>371.01224999999999</v>
      </c>
      <c r="F198" s="18"/>
    </row>
    <row r="199" spans="1:6" x14ac:dyDescent="0.2">
      <c r="A199" s="103" t="s">
        <v>207</v>
      </c>
      <c r="B199" s="104"/>
      <c r="C199" s="104"/>
      <c r="D199" s="105"/>
      <c r="E199" s="106">
        <f>E192+E197+E198</f>
        <v>4081.1347500000002</v>
      </c>
      <c r="F199" s="18"/>
    </row>
    <row r="200" spans="1:6" ht="13.5" thickBot="1" x14ac:dyDescent="0.25">
      <c r="A200" s="90" t="s">
        <v>208</v>
      </c>
      <c r="B200" s="91" t="s">
        <v>10</v>
      </c>
      <c r="C200" s="15">
        <f>C183</f>
        <v>2</v>
      </c>
      <c r="D200" s="92">
        <f>E199</f>
        <v>4081.1347500000002</v>
      </c>
      <c r="E200" s="106">
        <f>C200*D200</f>
        <v>8162.2695000000003</v>
      </c>
      <c r="F200" s="18"/>
    </row>
    <row r="201" spans="1:6" ht="13.5" thickBot="1" x14ac:dyDescent="0.25">
      <c r="C201" s="17"/>
      <c r="D201" s="109" t="s">
        <v>164</v>
      </c>
      <c r="E201" s="255">
        <f>E184</f>
        <v>0.7</v>
      </c>
      <c r="F201" s="19">
        <f>E200*E201</f>
        <v>5713.5886499999997</v>
      </c>
    </row>
    <row r="203" spans="1:6" ht="13.5" thickBot="1" x14ac:dyDescent="0.25">
      <c r="A203" s="7" t="s">
        <v>51</v>
      </c>
    </row>
    <row r="204" spans="1:6" ht="13.5" thickBot="1" x14ac:dyDescent="0.25">
      <c r="A204" s="55" t="s">
        <v>62</v>
      </c>
      <c r="B204" s="56" t="s">
        <v>63</v>
      </c>
      <c r="C204" s="56" t="s">
        <v>40</v>
      </c>
      <c r="D204" s="57" t="s">
        <v>194</v>
      </c>
      <c r="E204" s="57" t="s">
        <v>64</v>
      </c>
      <c r="F204" s="58" t="s">
        <v>65</v>
      </c>
    </row>
    <row r="205" spans="1:6" x14ac:dyDescent="0.2">
      <c r="A205" s="11" t="s">
        <v>12</v>
      </c>
      <c r="B205" s="12" t="s">
        <v>10</v>
      </c>
      <c r="C205" s="13">
        <f>C183</f>
        <v>2</v>
      </c>
      <c r="D205" s="13">
        <f>0.01*($C$190)</f>
        <v>4500</v>
      </c>
      <c r="E205" s="13">
        <f>C205*D205</f>
        <v>9000</v>
      </c>
    </row>
    <row r="206" spans="1:6" x14ac:dyDescent="0.2">
      <c r="A206" s="14" t="s">
        <v>163</v>
      </c>
      <c r="B206" s="15" t="s">
        <v>10</v>
      </c>
      <c r="C206" s="13">
        <f>C183</f>
        <v>2</v>
      </c>
      <c r="D206" s="78">
        <v>97.4</v>
      </c>
      <c r="E206" s="16">
        <f>C206*D206</f>
        <v>194.8</v>
      </c>
    </row>
    <row r="207" spans="1:6" x14ac:dyDescent="0.2">
      <c r="A207" s="14" t="s">
        <v>13</v>
      </c>
      <c r="B207" s="15" t="s">
        <v>10</v>
      </c>
      <c r="C207" s="13">
        <f>C183</f>
        <v>2</v>
      </c>
      <c r="D207" s="78">
        <v>3500</v>
      </c>
      <c r="E207" s="16">
        <f>C207*D207</f>
        <v>7000</v>
      </c>
      <c r="F207" s="29"/>
    </row>
    <row r="208" spans="1:6" ht="13.5" thickBot="1" x14ac:dyDescent="0.25">
      <c r="A208" s="90" t="s">
        <v>14</v>
      </c>
      <c r="B208" s="91" t="s">
        <v>8</v>
      </c>
      <c r="C208" s="91">
        <v>12</v>
      </c>
      <c r="D208" s="92">
        <f>SUM(E205:E207)</f>
        <v>16194.8</v>
      </c>
      <c r="E208" s="92">
        <f>D208/C208</f>
        <v>1349.5666666666666</v>
      </c>
    </row>
    <row r="209" spans="1:6" ht="13.5" thickBot="1" x14ac:dyDescent="0.25">
      <c r="D209" s="109" t="s">
        <v>164</v>
      </c>
      <c r="E209" s="255">
        <f>E201</f>
        <v>0.7</v>
      </c>
      <c r="F209" s="110">
        <f>E208*E209</f>
        <v>944.6966666666666</v>
      </c>
    </row>
    <row r="211" spans="1:6" x14ac:dyDescent="0.2">
      <c r="A211" s="7" t="s">
        <v>52</v>
      </c>
      <c r="B211" s="30"/>
    </row>
    <row r="212" spans="1:6" ht="13.5" thickBot="1" x14ac:dyDescent="0.25">
      <c r="A212" s="90" t="s">
        <v>107</v>
      </c>
      <c r="B212" s="263">
        <f>'6. Roteiros'!AA13</f>
        <v>3796.8608571428567</v>
      </c>
    </row>
    <row r="213" spans="1:6" ht="13.5" thickBot="1" x14ac:dyDescent="0.25">
      <c r="A213" s="55" t="s">
        <v>62</v>
      </c>
      <c r="B213" s="56" t="s">
        <v>63</v>
      </c>
      <c r="C213" s="56" t="s">
        <v>206</v>
      </c>
      <c r="D213" s="57" t="s">
        <v>194</v>
      </c>
      <c r="E213" s="57" t="s">
        <v>64</v>
      </c>
      <c r="F213" s="58" t="s">
        <v>65</v>
      </c>
    </row>
    <row r="214" spans="1:6" x14ac:dyDescent="0.2">
      <c r="A214" s="11" t="s">
        <v>15</v>
      </c>
      <c r="B214" s="12" t="s">
        <v>16</v>
      </c>
      <c r="C214" s="85">
        <v>2</v>
      </c>
      <c r="D214" s="76">
        <v>6.08</v>
      </c>
      <c r="E214" s="13"/>
    </row>
    <row r="215" spans="1:6" x14ac:dyDescent="0.2">
      <c r="A215" s="14" t="s">
        <v>17</v>
      </c>
      <c r="B215" s="15" t="s">
        <v>18</v>
      </c>
      <c r="C215" s="83">
        <f>B212</f>
        <v>3796.8608571428567</v>
      </c>
      <c r="D215" s="226">
        <f>IFERROR(+D214/C214,"-")</f>
        <v>3.04</v>
      </c>
      <c r="E215" s="16">
        <f>IFERROR(C215*D215,"-")</f>
        <v>11542.457005714285</v>
      </c>
    </row>
    <row r="216" spans="1:6" x14ac:dyDescent="0.2">
      <c r="A216" s="14" t="s">
        <v>195</v>
      </c>
      <c r="B216" s="15" t="s">
        <v>19</v>
      </c>
      <c r="C216" s="87">
        <v>1.33</v>
      </c>
      <c r="D216" s="78">
        <v>28</v>
      </c>
      <c r="E216" s="16"/>
    </row>
    <row r="217" spans="1:6" x14ac:dyDescent="0.2">
      <c r="A217" s="259" t="s">
        <v>20</v>
      </c>
      <c r="B217" s="15" t="s">
        <v>18</v>
      </c>
      <c r="C217" s="83">
        <f>C215</f>
        <v>3796.8608571428567</v>
      </c>
      <c r="D217" s="223">
        <f>+C216*D216/1000</f>
        <v>3.7240000000000002E-2</v>
      </c>
      <c r="E217" s="16">
        <f>C217*D217</f>
        <v>141.39509831999999</v>
      </c>
    </row>
    <row r="218" spans="1:6" x14ac:dyDescent="0.2">
      <c r="A218" s="14" t="s">
        <v>196</v>
      </c>
      <c r="B218" s="15" t="s">
        <v>19</v>
      </c>
      <c r="C218" s="87">
        <v>0.2</v>
      </c>
      <c r="D218" s="78">
        <v>30</v>
      </c>
      <c r="E218" s="16"/>
    </row>
    <row r="219" spans="1:6" x14ac:dyDescent="0.2">
      <c r="A219" s="14" t="s">
        <v>21</v>
      </c>
      <c r="B219" s="15" t="s">
        <v>18</v>
      </c>
      <c r="C219" s="83">
        <f>C215</f>
        <v>3796.8608571428567</v>
      </c>
      <c r="D219" s="223">
        <f>+C218*D218/1000</f>
        <v>6.0000000000000001E-3</v>
      </c>
      <c r="E219" s="16">
        <f>C219*D219</f>
        <v>22.781165142857141</v>
      </c>
    </row>
    <row r="220" spans="1:6" x14ac:dyDescent="0.2">
      <c r="A220" s="14" t="s">
        <v>197</v>
      </c>
      <c r="B220" s="15" t="s">
        <v>19</v>
      </c>
      <c r="C220" s="87">
        <v>2</v>
      </c>
      <c r="D220" s="78">
        <v>24</v>
      </c>
      <c r="E220" s="16"/>
    </row>
    <row r="221" spans="1:6" x14ac:dyDescent="0.2">
      <c r="A221" s="14" t="s">
        <v>22</v>
      </c>
      <c r="B221" s="15" t="s">
        <v>18</v>
      </c>
      <c r="C221" s="83">
        <f>C215</f>
        <v>3796.8608571428567</v>
      </c>
      <c r="D221" s="223">
        <f>+C220*D220/1000</f>
        <v>4.8000000000000001E-2</v>
      </c>
      <c r="E221" s="16">
        <f>C221*D221</f>
        <v>182.24932114285713</v>
      </c>
    </row>
    <row r="222" spans="1:6" x14ac:dyDescent="0.2">
      <c r="A222" s="259" t="s">
        <v>319</v>
      </c>
      <c r="B222" s="278" t="s">
        <v>19</v>
      </c>
      <c r="C222" s="286">
        <v>20</v>
      </c>
      <c r="D222" s="268">
        <v>3.5</v>
      </c>
      <c r="E222" s="265"/>
    </row>
    <row r="223" spans="1:6" x14ac:dyDescent="0.2">
      <c r="A223" s="259" t="s">
        <v>318</v>
      </c>
      <c r="B223" s="278" t="s">
        <v>18</v>
      </c>
      <c r="C223" s="267">
        <f>C217</f>
        <v>3796.8608571428567</v>
      </c>
      <c r="D223" s="269">
        <f>+C222*D222/1000</f>
        <v>7.0000000000000007E-2</v>
      </c>
      <c r="E223" s="265">
        <f>C223*D223</f>
        <v>265.78026</v>
      </c>
    </row>
    <row r="224" spans="1:6" x14ac:dyDescent="0.2">
      <c r="A224" s="14" t="s">
        <v>23</v>
      </c>
      <c r="B224" s="15" t="s">
        <v>24</v>
      </c>
      <c r="C224" s="87">
        <v>1.5</v>
      </c>
      <c r="D224" s="78">
        <v>26</v>
      </c>
      <c r="E224" s="16"/>
    </row>
    <row r="225" spans="1:6" x14ac:dyDescent="0.2">
      <c r="A225" s="14" t="s">
        <v>25</v>
      </c>
      <c r="B225" s="15" t="s">
        <v>18</v>
      </c>
      <c r="C225" s="83">
        <f>C215</f>
        <v>3796.8608571428567</v>
      </c>
      <c r="D225" s="223">
        <f>+C224*D224/1000</f>
        <v>3.9E-2</v>
      </c>
      <c r="E225" s="16">
        <f>C225*D225</f>
        <v>148.07757342857141</v>
      </c>
    </row>
    <row r="226" spans="1:6" ht="13.5" thickBot="1" x14ac:dyDescent="0.25">
      <c r="A226" s="90" t="s">
        <v>205</v>
      </c>
      <c r="B226" s="91" t="s">
        <v>108</v>
      </c>
      <c r="C226" s="224"/>
      <c r="D226" s="225">
        <f>IFERROR(D215+D217+D219+D221+D223+D225,0)</f>
        <v>3.24024</v>
      </c>
      <c r="E226" s="16"/>
    </row>
    <row r="227" spans="1:6" ht="13.5" thickBot="1" x14ac:dyDescent="0.25">
      <c r="F227" s="19">
        <f>SUM(E214:E225)</f>
        <v>12302.740423748568</v>
      </c>
    </row>
    <row r="229" spans="1:6" ht="13.5" thickBot="1" x14ac:dyDescent="0.25">
      <c r="A229" s="7" t="s">
        <v>53</v>
      </c>
    </row>
    <row r="230" spans="1:6" ht="13.5" thickBot="1" x14ac:dyDescent="0.25">
      <c r="A230" s="55" t="s">
        <v>62</v>
      </c>
      <c r="B230" s="56" t="s">
        <v>63</v>
      </c>
      <c r="C230" s="56" t="s">
        <v>40</v>
      </c>
      <c r="D230" s="57" t="s">
        <v>194</v>
      </c>
      <c r="E230" s="57" t="s">
        <v>64</v>
      </c>
      <c r="F230" s="58" t="s">
        <v>65</v>
      </c>
    </row>
    <row r="231" spans="1:6" ht="13.5" thickBot="1" x14ac:dyDescent="0.25">
      <c r="A231" s="11" t="s">
        <v>106</v>
      </c>
      <c r="B231" s="12" t="s">
        <v>108</v>
      </c>
      <c r="C231" s="16">
        <f>C215</f>
        <v>3796.8608571428567</v>
      </c>
      <c r="D231" s="76">
        <v>1.08</v>
      </c>
      <c r="E231" s="13">
        <f>C231*D231</f>
        <v>4100.6097257142856</v>
      </c>
    </row>
    <row r="232" spans="1:6" ht="13.5" thickBot="1" x14ac:dyDescent="0.25">
      <c r="F232" s="19">
        <f>E231</f>
        <v>4100.6097257142856</v>
      </c>
    </row>
    <row r="234" spans="1:6" ht="13.5" thickBot="1" x14ac:dyDescent="0.25">
      <c r="A234" s="7" t="s">
        <v>60</v>
      </c>
    </row>
    <row r="235" spans="1:6" ht="13.5" thickBot="1" x14ac:dyDescent="0.25">
      <c r="A235" s="55" t="s">
        <v>62</v>
      </c>
      <c r="B235" s="56" t="s">
        <v>63</v>
      </c>
      <c r="C235" s="56" t="s">
        <v>40</v>
      </c>
      <c r="D235" s="57" t="s">
        <v>194</v>
      </c>
      <c r="E235" s="57" t="s">
        <v>64</v>
      </c>
      <c r="F235" s="58" t="s">
        <v>65</v>
      </c>
    </row>
    <row r="236" spans="1:6" x14ac:dyDescent="0.2">
      <c r="A236" s="251" t="s">
        <v>317</v>
      </c>
      <c r="B236" s="12" t="s">
        <v>10</v>
      </c>
      <c r="C236" s="84">
        <v>6</v>
      </c>
      <c r="D236" s="76">
        <v>2700</v>
      </c>
      <c r="E236" s="13">
        <f>C236*D236</f>
        <v>16200</v>
      </c>
    </row>
    <row r="237" spans="1:6" x14ac:dyDescent="0.2">
      <c r="A237" s="11" t="s">
        <v>109</v>
      </c>
      <c r="B237" s="12" t="s">
        <v>10</v>
      </c>
      <c r="C237" s="84">
        <v>2</v>
      </c>
      <c r="D237" s="93"/>
      <c r="E237" s="13"/>
    </row>
    <row r="238" spans="1:6" x14ac:dyDescent="0.2">
      <c r="A238" s="11" t="s">
        <v>68</v>
      </c>
      <c r="B238" s="12" t="s">
        <v>10</v>
      </c>
      <c r="C238" s="13">
        <f>C236*C237</f>
        <v>12</v>
      </c>
      <c r="D238" s="76">
        <v>800</v>
      </c>
      <c r="E238" s="13">
        <f>C238*D238</f>
        <v>9600</v>
      </c>
    </row>
    <row r="239" spans="1:6" x14ac:dyDescent="0.2">
      <c r="A239" s="14" t="s">
        <v>90</v>
      </c>
      <c r="B239" s="15" t="s">
        <v>26</v>
      </c>
      <c r="C239" s="86">
        <v>80000</v>
      </c>
      <c r="D239" s="16">
        <f>E236+E238</f>
        <v>25800</v>
      </c>
      <c r="E239" s="16">
        <f>IFERROR(D239/C239,"-")</f>
        <v>0.32250000000000001</v>
      </c>
    </row>
    <row r="240" spans="1:6" ht="13.5" thickBot="1" x14ac:dyDescent="0.25">
      <c r="A240" s="14" t="s">
        <v>55</v>
      </c>
      <c r="B240" s="15" t="s">
        <v>18</v>
      </c>
      <c r="C240" s="83">
        <f>B212</f>
        <v>3796.8608571428567</v>
      </c>
      <c r="D240" s="16">
        <f>E239</f>
        <v>0.32250000000000001</v>
      </c>
      <c r="E240" s="16">
        <f>IFERROR(C240*D240,0)</f>
        <v>1224.4876264285713</v>
      </c>
    </row>
    <row r="241" spans="1:6" ht="13.5" thickBot="1" x14ac:dyDescent="0.25">
      <c r="F241" s="19">
        <f>E240</f>
        <v>1224.4876264285713</v>
      </c>
    </row>
    <row r="243" spans="1:6" ht="13.5" thickBot="1" x14ac:dyDescent="0.25"/>
    <row r="244" spans="1:6" ht="13.5" thickBot="1" x14ac:dyDescent="0.25">
      <c r="A244" s="22" t="s">
        <v>187</v>
      </c>
      <c r="B244" s="23"/>
      <c r="C244" s="23"/>
      <c r="D244" s="24"/>
      <c r="E244" s="25"/>
      <c r="F244" s="19">
        <f>+SUM(F171:F243)</f>
        <v>29304.983092558094</v>
      </c>
    </row>
    <row r="246" spans="1:6" ht="13.5" thickBot="1" x14ac:dyDescent="0.25">
      <c r="A246" s="9" t="s">
        <v>333</v>
      </c>
      <c r="B246" s="9"/>
      <c r="C246" s="9"/>
      <c r="D246" s="32"/>
      <c r="E246" s="32"/>
      <c r="F246" s="31"/>
    </row>
    <row r="247" spans="1:6" ht="13.5" thickBot="1" x14ac:dyDescent="0.25">
      <c r="A247" s="55" t="s">
        <v>62</v>
      </c>
      <c r="B247" s="56" t="s">
        <v>63</v>
      </c>
      <c r="C247" s="56" t="s">
        <v>40</v>
      </c>
      <c r="D247" s="57" t="s">
        <v>194</v>
      </c>
      <c r="E247" s="57" t="s">
        <v>64</v>
      </c>
      <c r="F247" s="58" t="s">
        <v>65</v>
      </c>
    </row>
    <row r="248" spans="1:6" x14ac:dyDescent="0.2">
      <c r="A248" s="14" t="s">
        <v>69</v>
      </c>
      <c r="B248" s="15" t="s">
        <v>10</v>
      </c>
      <c r="C248" s="88">
        <v>0.16666666666666666</v>
      </c>
      <c r="D248" s="76">
        <v>39</v>
      </c>
      <c r="E248" s="16">
        <f t="shared" ref="E248:E250" si="6">C248*D248</f>
        <v>6.5</v>
      </c>
      <c r="F248" s="50"/>
    </row>
    <row r="249" spans="1:6" x14ac:dyDescent="0.2">
      <c r="A249" s="14" t="s">
        <v>27</v>
      </c>
      <c r="B249" s="15" t="s">
        <v>10</v>
      </c>
      <c r="C249" s="88">
        <v>0.16666666666666666</v>
      </c>
      <c r="D249" s="76">
        <v>26.92</v>
      </c>
      <c r="E249" s="16">
        <f t="shared" si="6"/>
        <v>4.4866666666666664</v>
      </c>
      <c r="F249" s="50"/>
    </row>
    <row r="250" spans="1:6" ht="13.5" thickBot="1" x14ac:dyDescent="0.25">
      <c r="A250" s="14" t="s">
        <v>28</v>
      </c>
      <c r="B250" s="15" t="s">
        <v>10</v>
      </c>
      <c r="C250" s="88">
        <v>0.16666666666666666</v>
      </c>
      <c r="D250" s="76">
        <v>26.19</v>
      </c>
      <c r="E250" s="16">
        <f t="shared" si="6"/>
        <v>4.3650000000000002</v>
      </c>
      <c r="F250" s="50"/>
    </row>
    <row r="251" spans="1:6" ht="13.5" thickBot="1" x14ac:dyDescent="0.25">
      <c r="A251" s="9"/>
      <c r="B251" s="9"/>
      <c r="C251" s="9"/>
      <c r="D251" s="9"/>
      <c r="E251" s="32"/>
      <c r="F251" s="19">
        <f>SUM(E248:E250)</f>
        <v>15.351666666666667</v>
      </c>
    </row>
    <row r="252" spans="1:6" ht="13.5" thickBot="1" x14ac:dyDescent="0.25"/>
    <row r="253" spans="1:6" ht="13.5" thickBot="1" x14ac:dyDescent="0.25">
      <c r="A253" s="22" t="s">
        <v>188</v>
      </c>
      <c r="B253" s="23"/>
      <c r="C253" s="23"/>
      <c r="D253" s="24"/>
      <c r="E253" s="25"/>
      <c r="F253" s="19">
        <f>+F251</f>
        <v>15.351666666666667</v>
      </c>
    </row>
    <row r="255" spans="1:6" ht="13.5" thickBot="1" x14ac:dyDescent="0.25">
      <c r="A255" s="9" t="s">
        <v>330</v>
      </c>
      <c r="B255" s="9"/>
      <c r="C255" s="9"/>
      <c r="D255" s="32"/>
      <c r="E255" s="32"/>
      <c r="F255" s="31"/>
    </row>
    <row r="256" spans="1:6" ht="13.5" thickBot="1" x14ac:dyDescent="0.25">
      <c r="A256" s="55" t="s">
        <v>62</v>
      </c>
      <c r="B256" s="56" t="s">
        <v>63</v>
      </c>
      <c r="C256" s="56" t="s">
        <v>40</v>
      </c>
      <c r="D256" s="57" t="s">
        <v>194</v>
      </c>
      <c r="E256" s="57" t="s">
        <v>64</v>
      </c>
      <c r="F256" s="58" t="s">
        <v>65</v>
      </c>
    </row>
    <row r="257" spans="1:6" x14ac:dyDescent="0.2">
      <c r="A257" s="259" t="s">
        <v>342</v>
      </c>
      <c r="B257" s="278" t="s">
        <v>10</v>
      </c>
      <c r="C257" s="285">
        <v>2</v>
      </c>
      <c r="D257" s="76">
        <v>180</v>
      </c>
      <c r="E257" s="16">
        <f t="shared" ref="E257:E262" si="7">C257*D257</f>
        <v>360</v>
      </c>
      <c r="F257" s="50"/>
    </row>
    <row r="258" spans="1:6" x14ac:dyDescent="0.2">
      <c r="A258" s="259" t="s">
        <v>426</v>
      </c>
      <c r="B258" s="49" t="s">
        <v>294</v>
      </c>
      <c r="C258" s="278">
        <f>100*4</f>
        <v>400</v>
      </c>
      <c r="D258" s="268">
        <v>2.4</v>
      </c>
      <c r="E258" s="265">
        <f t="shared" ref="E258" si="8">+D258*C258</f>
        <v>960</v>
      </c>
      <c r="F258" s="50"/>
    </row>
    <row r="259" spans="1:6" ht="29.25" customHeight="1" x14ac:dyDescent="0.2">
      <c r="A259" s="399" t="s">
        <v>428</v>
      </c>
      <c r="B259" s="290" t="s">
        <v>357</v>
      </c>
      <c r="C259" s="267">
        <v>1</v>
      </c>
      <c r="D259" s="268">
        <v>2000</v>
      </c>
      <c r="E259" s="265">
        <f t="shared" ref="E259" si="9">C259*D259</f>
        <v>2000</v>
      </c>
      <c r="F259" s="50"/>
    </row>
    <row r="260" spans="1:6" ht="25.5" x14ac:dyDescent="0.2">
      <c r="A260" s="400" t="s">
        <v>427</v>
      </c>
      <c r="B260" s="290" t="s">
        <v>357</v>
      </c>
      <c r="C260" s="267">
        <v>1</v>
      </c>
      <c r="D260" s="268">
        <v>1000</v>
      </c>
      <c r="E260" s="265">
        <f t="shared" ref="E260:E261" si="10">C260*D260</f>
        <v>1000</v>
      </c>
      <c r="F260" s="50"/>
    </row>
    <row r="261" spans="1:6" x14ac:dyDescent="0.2">
      <c r="A261" s="400" t="s">
        <v>457</v>
      </c>
      <c r="B261" s="290" t="s">
        <v>458</v>
      </c>
      <c r="C261" s="267">
        <f>(C112*2*2)+(4*2*2)</f>
        <v>84</v>
      </c>
      <c r="D261" s="253">
        <v>11</v>
      </c>
      <c r="E261" s="265">
        <f t="shared" si="10"/>
        <v>924</v>
      </c>
      <c r="F261" s="50"/>
    </row>
    <row r="262" spans="1:6" ht="13.5" thickBot="1" x14ac:dyDescent="0.25">
      <c r="A262" s="259" t="s">
        <v>303</v>
      </c>
      <c r="B262" s="278" t="s">
        <v>10</v>
      </c>
      <c r="C262" s="88">
        <v>8.3333333333333329E-2</v>
      </c>
      <c r="D262" s="76">
        <v>150</v>
      </c>
      <c r="E262" s="16">
        <f t="shared" si="7"/>
        <v>12.5</v>
      </c>
      <c r="F262" s="50"/>
    </row>
    <row r="263" spans="1:6" ht="13.5" thickBot="1" x14ac:dyDescent="0.25">
      <c r="A263" s="10"/>
      <c r="B263" s="10"/>
      <c r="C263" s="10"/>
      <c r="D263" s="109" t="s">
        <v>164</v>
      </c>
      <c r="E263" s="255">
        <v>1</v>
      </c>
      <c r="F263" s="19">
        <f>SUM(E257:E262)</f>
        <v>5256.5</v>
      </c>
    </row>
    <row r="265" spans="1:6" ht="13.5" thickBot="1" x14ac:dyDescent="0.25">
      <c r="A265" s="9" t="s">
        <v>331</v>
      </c>
      <c r="B265" s="9"/>
      <c r="C265" s="9"/>
      <c r="D265" s="32"/>
      <c r="E265" s="32"/>
      <c r="F265" s="31"/>
    </row>
    <row r="266" spans="1:6" ht="13.5" thickBot="1" x14ac:dyDescent="0.25">
      <c r="A266" s="55" t="s">
        <v>62</v>
      </c>
      <c r="B266" s="56" t="s">
        <v>63</v>
      </c>
      <c r="C266" s="56" t="s">
        <v>40</v>
      </c>
      <c r="D266" s="57" t="s">
        <v>194</v>
      </c>
      <c r="E266" s="57" t="s">
        <v>64</v>
      </c>
      <c r="F266" s="58" t="s">
        <v>65</v>
      </c>
    </row>
    <row r="267" spans="1:6" x14ac:dyDescent="0.2">
      <c r="A267" s="259" t="s">
        <v>185</v>
      </c>
      <c r="B267" s="49" t="s">
        <v>57</v>
      </c>
      <c r="C267" s="64">
        <v>2</v>
      </c>
      <c r="D267" s="78">
        <v>300</v>
      </c>
      <c r="E267" s="16">
        <f>+D267*C267</f>
        <v>600</v>
      </c>
      <c r="F267" s="50"/>
    </row>
    <row r="268" spans="1:6" x14ac:dyDescent="0.2">
      <c r="A268" s="14" t="s">
        <v>59</v>
      </c>
      <c r="B268" s="49" t="s">
        <v>8</v>
      </c>
      <c r="C268" s="15">
        <v>60</v>
      </c>
      <c r="D268" s="71">
        <f>SUM(E267:E267)</f>
        <v>600</v>
      </c>
      <c r="E268" s="71">
        <f>+D268/C268</f>
        <v>10</v>
      </c>
      <c r="F268" s="50"/>
    </row>
    <row r="269" spans="1:6" x14ac:dyDescent="0.2">
      <c r="A269" s="14" t="s">
        <v>186</v>
      </c>
      <c r="B269" s="15" t="s">
        <v>10</v>
      </c>
      <c r="C269" s="64">
        <f>+C267</f>
        <v>2</v>
      </c>
      <c r="D269" s="78">
        <v>110</v>
      </c>
      <c r="E269" s="16">
        <f>C269*D269</f>
        <v>220</v>
      </c>
      <c r="F269" s="50"/>
    </row>
    <row r="270" spans="1:6" ht="13.5" thickBot="1" x14ac:dyDescent="0.25">
      <c r="A270" s="14" t="s">
        <v>37</v>
      </c>
      <c r="B270" s="49" t="s">
        <v>8</v>
      </c>
      <c r="C270" s="15">
        <v>1</v>
      </c>
      <c r="D270" s="71">
        <f>+E269</f>
        <v>220</v>
      </c>
      <c r="E270" s="71">
        <f>+D270/C270</f>
        <v>220</v>
      </c>
      <c r="F270" s="50"/>
    </row>
    <row r="271" spans="1:6" ht="13.5" thickBot="1" x14ac:dyDescent="0.25">
      <c r="A271" s="10"/>
      <c r="B271" s="10"/>
      <c r="C271" s="10"/>
      <c r="D271" s="109" t="s">
        <v>164</v>
      </c>
      <c r="E271" s="255">
        <f>E209</f>
        <v>0.7</v>
      </c>
      <c r="F271" s="19">
        <f>(E268+E270)*E271</f>
        <v>161</v>
      </c>
    </row>
    <row r="272" spans="1:6" s="48" customFormat="1" ht="13.5" thickBot="1" x14ac:dyDescent="0.25">
      <c r="A272" s="7"/>
      <c r="B272" s="7"/>
      <c r="C272" s="7"/>
      <c r="D272" s="8"/>
      <c r="E272" s="8"/>
      <c r="F272" s="8"/>
    </row>
    <row r="273" spans="1:6" ht="13.5" thickBot="1" x14ac:dyDescent="0.25">
      <c r="A273" s="22" t="s">
        <v>184</v>
      </c>
      <c r="B273" s="23"/>
      <c r="C273" s="23"/>
      <c r="D273" s="24"/>
      <c r="E273" s="25"/>
      <c r="F273" s="19">
        <f>+F271</f>
        <v>161</v>
      </c>
    </row>
    <row r="274" spans="1:6" ht="13.5" thickBot="1" x14ac:dyDescent="0.25"/>
    <row r="275" spans="1:6" ht="13.5" thickBot="1" x14ac:dyDescent="0.25">
      <c r="A275" s="22" t="s">
        <v>189</v>
      </c>
      <c r="B275" s="26"/>
      <c r="C275" s="26"/>
      <c r="D275" s="27"/>
      <c r="E275" s="28"/>
      <c r="F275" s="20">
        <f>+F134+F165+F244+F253+F273+F263</f>
        <v>64836.678046203648</v>
      </c>
    </row>
    <row r="277" spans="1:6" ht="13.5" thickBot="1" x14ac:dyDescent="0.25">
      <c r="A277" s="9" t="s">
        <v>332</v>
      </c>
    </row>
    <row r="278" spans="1:6" ht="13.5" thickBot="1" x14ac:dyDescent="0.25">
      <c r="A278" s="55" t="s">
        <v>62</v>
      </c>
      <c r="B278" s="56" t="s">
        <v>63</v>
      </c>
      <c r="C278" s="56" t="s">
        <v>40</v>
      </c>
      <c r="D278" s="57" t="s">
        <v>194</v>
      </c>
      <c r="E278" s="57" t="s">
        <v>64</v>
      </c>
      <c r="F278" s="58" t="s">
        <v>65</v>
      </c>
    </row>
    <row r="279" spans="1:6" ht="13.5" thickBot="1" x14ac:dyDescent="0.25">
      <c r="A279" s="11" t="s">
        <v>36</v>
      </c>
      <c r="B279" s="12" t="s">
        <v>2</v>
      </c>
      <c r="C279" s="125">
        <f>'4.BDI'!C21*100</f>
        <v>27.700000000000003</v>
      </c>
      <c r="D279" s="13">
        <f>+F275</f>
        <v>64836.678046203648</v>
      </c>
      <c r="E279" s="13">
        <f>C279*D279/100</f>
        <v>17959.759818798411</v>
      </c>
    </row>
    <row r="280" spans="1:6" ht="13.5" thickBot="1" x14ac:dyDescent="0.25">
      <c r="F280" s="19">
        <f>+E279</f>
        <v>17959.759818798411</v>
      </c>
    </row>
    <row r="281" spans="1:6" ht="13.5" thickBot="1" x14ac:dyDescent="0.25"/>
    <row r="282" spans="1:6" ht="13.5" thickBot="1" x14ac:dyDescent="0.25">
      <c r="A282" s="22" t="s">
        <v>199</v>
      </c>
      <c r="B282" s="26"/>
      <c r="C282" s="26"/>
      <c r="D282" s="27"/>
      <c r="E282" s="28"/>
      <c r="F282" s="20">
        <f>F280</f>
        <v>17959.759818798411</v>
      </c>
    </row>
    <row r="283" spans="1:6" ht="13.5" thickBot="1" x14ac:dyDescent="0.25">
      <c r="A283" s="9"/>
      <c r="B283" s="9"/>
      <c r="C283" s="9"/>
      <c r="D283" s="32"/>
      <c r="E283" s="32"/>
      <c r="F283" s="31"/>
    </row>
    <row r="284" spans="1:6" ht="13.5" thickBot="1" x14ac:dyDescent="0.25">
      <c r="A284" s="22" t="s">
        <v>190</v>
      </c>
      <c r="B284" s="26"/>
      <c r="C284" s="26"/>
      <c r="D284" s="27"/>
      <c r="E284" s="28"/>
      <c r="F284" s="20">
        <f>F275+F282</f>
        <v>82796.437865002052</v>
      </c>
    </row>
    <row r="285" spans="1:6" ht="15.75" x14ac:dyDescent="0.2">
      <c r="A285" s="51"/>
      <c r="B285" s="51"/>
      <c r="C285" s="51"/>
      <c r="D285" s="52"/>
      <c r="E285" s="52"/>
      <c r="F285" s="52"/>
    </row>
    <row r="286" spans="1:6" x14ac:dyDescent="0.2">
      <c r="A286" s="9"/>
      <c r="B286" s="9"/>
      <c r="C286" s="9"/>
      <c r="D286" s="32"/>
      <c r="E286" s="32"/>
      <c r="F286" s="32"/>
    </row>
    <row r="287" spans="1:6" s="2" customFormat="1" ht="15.75" x14ac:dyDescent="0.2">
      <c r="A287" s="36"/>
      <c r="B287" s="8"/>
      <c r="C287" s="8"/>
      <c r="D287" s="8"/>
      <c r="E287" s="8"/>
      <c r="F287" s="8"/>
    </row>
    <row r="288" spans="1:6" s="2" customFormat="1" ht="15.75" x14ac:dyDescent="0.2">
      <c r="A288" s="36"/>
      <c r="B288" s="8"/>
      <c r="C288" s="8"/>
      <c r="D288" s="8"/>
      <c r="E288" s="8"/>
      <c r="F288" s="8"/>
    </row>
    <row r="289" spans="1:6" s="2" customFormat="1" ht="15.75" x14ac:dyDescent="0.2">
      <c r="A289" s="36"/>
      <c r="B289" s="8"/>
      <c r="C289" s="8"/>
      <c r="D289" s="8"/>
      <c r="E289" s="8"/>
      <c r="F289" s="8"/>
    </row>
    <row r="290" spans="1:6" x14ac:dyDescent="0.2">
      <c r="F290" s="41"/>
    </row>
    <row r="291" spans="1:6" x14ac:dyDescent="0.2">
      <c r="F291" s="287"/>
    </row>
    <row r="319" s="7" customFormat="1" x14ac:dyDescent="0.2"/>
  </sheetData>
  <mergeCells count="8">
    <mergeCell ref="A11:F11"/>
    <mergeCell ref="A47:D47"/>
    <mergeCell ref="A25:C25"/>
    <mergeCell ref="A12:F12"/>
    <mergeCell ref="A13:F13"/>
    <mergeCell ref="A41:D41"/>
    <mergeCell ref="A15:F15"/>
    <mergeCell ref="A40:E40"/>
  </mergeCells>
  <phoneticPr fontId="36" type="noConversion"/>
  <hyperlinks>
    <hyperlink ref="A186" location="AbaRemun" display="3.1.2. Remuneração do Capital"/>
    <hyperlink ref="A169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6" fitToHeight="5" orientation="portrait" r:id="rId1"/>
  <headerFooter alignWithMargins="0">
    <oddFooter>&amp;R&amp;P de &amp;N</oddFooter>
  </headerFooter>
  <rowBreaks count="2" manualBreakCount="2">
    <brk id="108" max="5" man="1"/>
    <brk id="185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3"/>
  <sheetViews>
    <sheetView topLeftCell="A283" zoomScale="110" zoomScaleNormal="110" zoomScaleSheetLayoutView="100" workbookViewId="0">
      <selection activeCell="A11" sqref="A11:F292"/>
    </sheetView>
  </sheetViews>
  <sheetFormatPr defaultColWidth="9.140625" defaultRowHeight="12.75" x14ac:dyDescent="0.2"/>
  <cols>
    <col min="1" max="1" width="44.5703125" style="7" customWidth="1"/>
    <col min="2" max="2" width="16" style="7" bestFit="1" customWidth="1"/>
    <col min="3" max="3" width="11.85546875" style="7" customWidth="1"/>
    <col min="4" max="4" width="14.7109375" style="8" customWidth="1"/>
    <col min="5" max="5" width="15.42578125" style="8" customWidth="1"/>
    <col min="6" max="6" width="13.28515625" style="8" customWidth="1"/>
    <col min="7" max="7" width="13.85546875" style="8" customWidth="1"/>
    <col min="8" max="8" width="9.140625" style="7"/>
    <col min="9" max="9" width="14.5703125" style="7" customWidth="1"/>
    <col min="10" max="10" width="13.42578125" style="7" customWidth="1"/>
    <col min="11" max="16384" width="9.140625" style="7"/>
  </cols>
  <sheetData>
    <row r="1" spans="1:7" ht="15.75" hidden="1" x14ac:dyDescent="0.2">
      <c r="A1" s="51" t="s">
        <v>171</v>
      </c>
    </row>
    <row r="2" spans="1:7" ht="15.75" hidden="1" x14ac:dyDescent="0.2">
      <c r="A2" s="262" t="s">
        <v>233</v>
      </c>
    </row>
    <row r="3" spans="1:7" ht="15.75" hidden="1" x14ac:dyDescent="0.2">
      <c r="A3" s="262" t="s">
        <v>234</v>
      </c>
    </row>
    <row r="4" spans="1:7" ht="15.75" hidden="1" x14ac:dyDescent="0.2">
      <c r="A4" s="262" t="s">
        <v>236</v>
      </c>
    </row>
    <row r="5" spans="1:7" s="2" customFormat="1" ht="15.6" hidden="1" customHeight="1" x14ac:dyDescent="0.2">
      <c r="A5" s="51" t="s">
        <v>230</v>
      </c>
      <c r="C5" s="3"/>
      <c r="D5" s="3"/>
      <c r="E5" s="3"/>
      <c r="F5" s="3"/>
      <c r="G5" s="4"/>
    </row>
    <row r="6" spans="1:7" s="2" customFormat="1" ht="15.6" hidden="1" customHeight="1" x14ac:dyDescent="0.2">
      <c r="A6" s="249" t="s">
        <v>235</v>
      </c>
      <c r="B6" s="3"/>
      <c r="C6" s="3"/>
      <c r="D6" s="3"/>
      <c r="E6" s="3"/>
      <c r="F6" s="3"/>
      <c r="G6" s="4"/>
    </row>
    <row r="7" spans="1:7" s="2" customFormat="1" ht="15.6" hidden="1" customHeight="1" x14ac:dyDescent="0.2">
      <c r="A7" s="5"/>
      <c r="B7" s="3"/>
      <c r="C7" s="3"/>
      <c r="D7" s="3"/>
      <c r="E7" s="3"/>
      <c r="F7" s="3"/>
      <c r="G7" s="4"/>
    </row>
    <row r="8" spans="1:7" s="2" customFormat="1" ht="15.6" hidden="1" customHeight="1" x14ac:dyDescent="0.2">
      <c r="A8" s="250" t="s">
        <v>241</v>
      </c>
      <c r="B8" s="3"/>
      <c r="C8" s="3"/>
      <c r="D8" s="3"/>
      <c r="E8" s="3"/>
      <c r="F8" s="3"/>
      <c r="G8" s="4"/>
    </row>
    <row r="9" spans="1:7" s="2" customFormat="1" ht="15.6" hidden="1" customHeight="1" x14ac:dyDescent="0.2">
      <c r="A9" s="262" t="s">
        <v>238</v>
      </c>
      <c r="B9" s="3"/>
      <c r="C9" s="3"/>
      <c r="D9" s="3"/>
      <c r="E9" s="3"/>
      <c r="F9" s="3"/>
      <c r="G9" s="4"/>
    </row>
    <row r="10" spans="1:7" s="2" customFormat="1" ht="16.5" hidden="1" customHeight="1" x14ac:dyDescent="0.2">
      <c r="A10" s="5"/>
      <c r="B10" s="3"/>
      <c r="C10" s="3"/>
      <c r="D10" s="4"/>
      <c r="E10" s="4"/>
      <c r="F10" s="4"/>
      <c r="G10" s="4"/>
    </row>
    <row r="11" spans="1:7" s="2" customFormat="1" ht="16.5" customHeight="1" thickBot="1" x14ac:dyDescent="0.25">
      <c r="A11" s="553" t="s">
        <v>392</v>
      </c>
      <c r="B11" s="553"/>
      <c r="C11" s="553"/>
      <c r="D11" s="553"/>
      <c r="E11" s="553"/>
      <c r="F11" s="553"/>
      <c r="G11" s="4"/>
    </row>
    <row r="12" spans="1:7" s="6" customFormat="1" ht="18" x14ac:dyDescent="0.2">
      <c r="A12" s="418" t="s">
        <v>447</v>
      </c>
      <c r="B12" s="419"/>
      <c r="C12" s="419"/>
      <c r="D12" s="419"/>
      <c r="E12" s="419"/>
      <c r="F12" s="420"/>
      <c r="G12" s="33"/>
    </row>
    <row r="13" spans="1:7" s="6" customFormat="1" ht="21.75" customHeight="1" x14ac:dyDescent="0.2">
      <c r="A13" s="421" t="s">
        <v>43</v>
      </c>
      <c r="B13" s="422"/>
      <c r="C13" s="422"/>
      <c r="D13" s="422"/>
      <c r="E13" s="422"/>
      <c r="F13" s="423"/>
      <c r="G13" s="33"/>
    </row>
    <row r="14" spans="1:7" s="2" customFormat="1" ht="10.9" customHeight="1" thickBot="1" x14ac:dyDescent="0.25">
      <c r="A14" s="133"/>
      <c r="B14" s="3"/>
      <c r="C14" s="3"/>
      <c r="D14" s="134"/>
      <c r="E14" s="134"/>
      <c r="F14" s="135"/>
      <c r="G14" s="4"/>
    </row>
    <row r="15" spans="1:7" s="2" customFormat="1" ht="15.75" customHeight="1" thickBot="1" x14ac:dyDescent="0.25">
      <c r="A15" s="427" t="s">
        <v>170</v>
      </c>
      <c r="B15" s="428"/>
      <c r="C15" s="428"/>
      <c r="D15" s="428"/>
      <c r="E15" s="428"/>
      <c r="F15" s="429"/>
      <c r="G15" s="4"/>
    </row>
    <row r="16" spans="1:7" s="2" customFormat="1" ht="15.75" customHeight="1" x14ac:dyDescent="0.2">
      <c r="A16" s="59" t="s">
        <v>169</v>
      </c>
      <c r="B16" s="37"/>
      <c r="C16" s="37"/>
      <c r="D16" s="213"/>
      <c r="E16" s="102" t="s">
        <v>38</v>
      </c>
      <c r="F16" s="38" t="s">
        <v>2</v>
      </c>
      <c r="G16" s="4"/>
    </row>
    <row r="17" spans="1:7" s="9" customFormat="1" ht="15.75" customHeight="1" x14ac:dyDescent="0.2">
      <c r="A17" s="111" t="str">
        <f>A54</f>
        <v>1. Mão-de-obra</v>
      </c>
      <c r="B17" s="112"/>
      <c r="C17" s="113"/>
      <c r="D17" s="113"/>
      <c r="E17" s="210">
        <f>+F135</f>
        <v>15701.853654607363</v>
      </c>
      <c r="F17" s="114">
        <f>IFERROR(E17/$E$38,0)</f>
        <v>0.35967214100834088</v>
      </c>
      <c r="G17" s="41"/>
    </row>
    <row r="18" spans="1:7" s="2" customFormat="1" ht="15.75" customHeight="1" x14ac:dyDescent="0.2">
      <c r="A18" s="46" t="str">
        <f>A55</f>
        <v xml:space="preserve">1.1 Coletor Turno Dia </v>
      </c>
      <c r="B18" s="42"/>
      <c r="C18" s="44"/>
      <c r="D18" s="44"/>
      <c r="E18" s="211">
        <f>F72</f>
        <v>8809.8578586269996</v>
      </c>
      <c r="F18" s="53">
        <f t="shared" ref="F18:F37" si="0">IFERROR(E18/$E$38,0)</f>
        <v>0.20180167945086896</v>
      </c>
      <c r="G18" s="4"/>
    </row>
    <row r="19" spans="1:7" s="2" customFormat="1" ht="15.75" customHeight="1" x14ac:dyDescent="0.2">
      <c r="A19" s="46" t="str">
        <f>A74</f>
        <v>1.2. Encarregado/Supervisor</v>
      </c>
      <c r="B19" s="42"/>
      <c r="C19" s="44"/>
      <c r="D19" s="44"/>
      <c r="E19" s="211">
        <f>F87</f>
        <v>1347.1447499999999</v>
      </c>
      <c r="F19" s="53">
        <f t="shared" si="0"/>
        <v>3.0858167904174252E-2</v>
      </c>
      <c r="G19" s="291"/>
    </row>
    <row r="20" spans="1:7" s="2" customFormat="1" ht="15.75" customHeight="1" x14ac:dyDescent="0.2">
      <c r="A20" s="46" t="str">
        <f>A89</f>
        <v xml:space="preserve">1.3. Motorista Turno do dia </v>
      </c>
      <c r="B20" s="42"/>
      <c r="C20" s="44"/>
      <c r="D20" s="44"/>
      <c r="E20" s="211">
        <f>F108</f>
        <v>3627.0925543439998</v>
      </c>
      <c r="F20" s="53">
        <f t="shared" si="0"/>
        <v>8.3083448193616488E-2</v>
      </c>
      <c r="G20" s="4"/>
    </row>
    <row r="21" spans="1:7" s="2" customFormat="1" ht="15.75" customHeight="1" x14ac:dyDescent="0.2">
      <c r="A21" s="46" t="str">
        <f>A110</f>
        <v>1.4. Vale Transporte</v>
      </c>
      <c r="B21" s="42"/>
      <c r="C21" s="44"/>
      <c r="D21" s="44"/>
      <c r="E21" s="211">
        <f>F116</f>
        <v>330.49252799999999</v>
      </c>
      <c r="F21" s="53">
        <f t="shared" si="0"/>
        <v>7.5703772145487786E-3</v>
      </c>
      <c r="G21" s="4"/>
    </row>
    <row r="22" spans="1:7" s="2" customFormat="1" ht="15.75" customHeight="1" x14ac:dyDescent="0.2">
      <c r="A22" s="46" t="str">
        <f>A118</f>
        <v>1.5. Vale Alimentação (diário)</v>
      </c>
      <c r="B22" s="42"/>
      <c r="C22" s="44"/>
      <c r="D22" s="44"/>
      <c r="E22" s="211">
        <f>F123</f>
        <v>1189.2096000000001</v>
      </c>
      <c r="F22" s="53">
        <f t="shared" si="0"/>
        <v>2.7240450226344207E-2</v>
      </c>
      <c r="G22" s="4"/>
    </row>
    <row r="23" spans="1:7" s="2" customFormat="1" ht="15.75" customHeight="1" x14ac:dyDescent="0.2">
      <c r="A23" s="46" t="str">
        <f>A125</f>
        <v>1.6. Auxílio Alimentação (mensal)</v>
      </c>
      <c r="B23" s="42"/>
      <c r="C23" s="44"/>
      <c r="D23" s="44"/>
      <c r="E23" s="211">
        <f>F128</f>
        <v>281.53636363636366</v>
      </c>
      <c r="F23" s="53">
        <f t="shared" si="0"/>
        <v>6.4489702240398215E-3</v>
      </c>
      <c r="G23" s="4"/>
    </row>
    <row r="24" spans="1:7" s="2" customFormat="1" ht="15.75" customHeight="1" x14ac:dyDescent="0.2">
      <c r="A24" s="46" t="str">
        <f>A130</f>
        <v xml:space="preserve">1.7. Plano de Benefício Social  </v>
      </c>
      <c r="B24" s="42"/>
      <c r="C24" s="44"/>
      <c r="D24" s="44"/>
      <c r="E24" s="211">
        <f>F133</f>
        <v>116.52000000000001</v>
      </c>
      <c r="F24" s="53">
        <f t="shared" si="0"/>
        <v>2.6690477947483998E-3</v>
      </c>
      <c r="G24" s="4"/>
    </row>
    <row r="25" spans="1:7" s="9" customFormat="1" ht="15.75" customHeight="1" x14ac:dyDescent="0.2">
      <c r="A25" s="416" t="str">
        <f>A137</f>
        <v>2. Uniformes e Equipamentos de Proteção Individual</v>
      </c>
      <c r="B25" s="417"/>
      <c r="C25" s="417"/>
      <c r="D25" s="113"/>
      <c r="E25" s="210">
        <f>+F166</f>
        <v>345.00454545454539</v>
      </c>
      <c r="F25" s="114">
        <f t="shared" si="0"/>
        <v>7.9027945522110229E-3</v>
      </c>
      <c r="G25" s="41"/>
    </row>
    <row r="26" spans="1:7" s="9" customFormat="1" ht="15.75" customHeight="1" x14ac:dyDescent="0.2">
      <c r="A26" s="122" t="str">
        <f>A168</f>
        <v>3. Veículos e Equipamentos</v>
      </c>
      <c r="B26" s="123"/>
      <c r="C26" s="113"/>
      <c r="D26" s="113"/>
      <c r="E26" s="210">
        <f>+F245</f>
        <v>14952.678963046732</v>
      </c>
      <c r="F26" s="114">
        <f t="shared" si="0"/>
        <v>0.34251128400189379</v>
      </c>
      <c r="G26" s="41"/>
    </row>
    <row r="27" spans="1:7" s="2" customFormat="1" ht="15.75" customHeight="1" x14ac:dyDescent="0.2">
      <c r="A27" s="60" t="str">
        <f>A169</f>
        <v>3.1. Veículo Coletor Compactador</v>
      </c>
      <c r="B27" s="43"/>
      <c r="C27" s="44"/>
      <c r="D27" s="44"/>
      <c r="E27" s="211">
        <f>SUM(E28:E33)</f>
        <v>14952.678963046732</v>
      </c>
      <c r="F27" s="128">
        <f t="shared" si="0"/>
        <v>0.34251128400189379</v>
      </c>
      <c r="G27" s="4"/>
    </row>
    <row r="28" spans="1:7" s="2" customFormat="1" ht="15.75" customHeight="1" x14ac:dyDescent="0.2">
      <c r="A28" s="60" t="str">
        <f>A170</f>
        <v>3.1.1. Depreciação</v>
      </c>
      <c r="B28" s="43"/>
      <c r="C28" s="44"/>
      <c r="D28" s="44"/>
      <c r="E28" s="211">
        <f>F185</f>
        <v>2150.94</v>
      </c>
      <c r="F28" s="128">
        <f t="shared" si="0"/>
        <v>4.927018248915313E-2</v>
      </c>
      <c r="G28" s="4"/>
    </row>
    <row r="29" spans="1:7" s="2" customFormat="1" ht="15.75" customHeight="1" x14ac:dyDescent="0.2">
      <c r="A29" s="60" t="str">
        <f>A187</f>
        <v>3.1.2. Remuneração do Capital</v>
      </c>
      <c r="B29" s="43"/>
      <c r="C29" s="44"/>
      <c r="D29" s="44"/>
      <c r="E29" s="211">
        <f>F202</f>
        <v>2448.6808500000002</v>
      </c>
      <c r="F29" s="128">
        <f t="shared" si="0"/>
        <v>5.609033833449311E-2</v>
      </c>
      <c r="G29" s="4"/>
    </row>
    <row r="30" spans="1:7" s="2" customFormat="1" ht="15.75" customHeight="1" x14ac:dyDescent="0.2">
      <c r="A30" s="60" t="str">
        <f>A204</f>
        <v>3.1.3. Impostos e Seguros</v>
      </c>
      <c r="B30" s="43"/>
      <c r="C30" s="44"/>
      <c r="D30" s="44"/>
      <c r="E30" s="211">
        <f>F210</f>
        <v>404.86999999999995</v>
      </c>
      <c r="F30" s="128">
        <f t="shared" si="0"/>
        <v>9.2740935518347452E-3</v>
      </c>
      <c r="G30" s="4"/>
    </row>
    <row r="31" spans="1:7" s="2" customFormat="1" ht="15.75" customHeight="1" x14ac:dyDescent="0.2">
      <c r="A31" s="60" t="str">
        <f>A212</f>
        <v>3.1.4. Consumos</v>
      </c>
      <c r="B31" s="43"/>
      <c r="C31" s="44"/>
      <c r="D31" s="44"/>
      <c r="E31" s="211">
        <f>F228</f>
        <v>6846.275757511019</v>
      </c>
      <c r="F31" s="128">
        <f t="shared" si="0"/>
        <v>0.15682318239636298</v>
      </c>
      <c r="G31" s="4"/>
    </row>
    <row r="32" spans="1:7" s="2" customFormat="1" ht="15.75" customHeight="1" x14ac:dyDescent="0.2">
      <c r="A32" s="60" t="str">
        <f>A230</f>
        <v>3.1.5. Manutenção</v>
      </c>
      <c r="B32" s="43"/>
      <c r="C32" s="44"/>
      <c r="D32" s="44"/>
      <c r="E32" s="211">
        <f>F233</f>
        <v>2388.6383914285711</v>
      </c>
      <c r="F32" s="128">
        <f t="shared" si="0"/>
        <v>5.4714984818861931E-2</v>
      </c>
      <c r="G32" s="4"/>
    </row>
    <row r="33" spans="1:7" s="2" customFormat="1" ht="15.75" customHeight="1" x14ac:dyDescent="0.2">
      <c r="A33" s="60" t="str">
        <f>A235</f>
        <v>3.1.6. Pneus</v>
      </c>
      <c r="B33" s="43"/>
      <c r="C33" s="44"/>
      <c r="D33" s="44"/>
      <c r="E33" s="211">
        <f>F242</f>
        <v>713.27396410714277</v>
      </c>
      <c r="F33" s="128">
        <f t="shared" si="0"/>
        <v>1.6338502411187939E-2</v>
      </c>
      <c r="G33" s="4"/>
    </row>
    <row r="34" spans="1:7" s="9" customFormat="1" ht="15.75" customHeight="1" x14ac:dyDescent="0.2">
      <c r="A34" s="122" t="str">
        <f>A247</f>
        <v xml:space="preserve">4. Ferramentas, Materiais de Consumo </v>
      </c>
      <c r="B34" s="123"/>
      <c r="C34" s="113"/>
      <c r="D34" s="113"/>
      <c r="E34" s="210">
        <f>+F254</f>
        <v>15.351666666666667</v>
      </c>
      <c r="F34" s="114">
        <f t="shared" si="0"/>
        <v>3.5165063561945747E-4</v>
      </c>
      <c r="G34" s="41"/>
    </row>
    <row r="35" spans="1:7" s="9" customFormat="1" ht="15.75" customHeight="1" x14ac:dyDescent="0.2">
      <c r="A35" s="122" t="str">
        <f>A256</f>
        <v xml:space="preserve">5. Administração Local </v>
      </c>
      <c r="B35" s="123"/>
      <c r="C35" s="113"/>
      <c r="D35" s="113"/>
      <c r="E35" s="210">
        <f>F268</f>
        <v>3102.5</v>
      </c>
      <c r="F35" s="114">
        <f t="shared" si="0"/>
        <v>7.1066948019283468E-2</v>
      </c>
      <c r="G35" s="41"/>
    </row>
    <row r="36" spans="1:7" s="9" customFormat="1" ht="15.75" customHeight="1" x14ac:dyDescent="0.2">
      <c r="A36" s="122" t="str">
        <f>A270</f>
        <v>6. Monitoramento da Frota</v>
      </c>
      <c r="B36" s="123"/>
      <c r="C36" s="113"/>
      <c r="D36" s="113"/>
      <c r="E36" s="210">
        <f>+F279</f>
        <v>69</v>
      </c>
      <c r="F36" s="114">
        <f t="shared" si="0"/>
        <v>1.5805380864884961E-3</v>
      </c>
      <c r="G36" s="41"/>
    </row>
    <row r="37" spans="1:7" s="9" customFormat="1" ht="15.75" customHeight="1" thickBot="1" x14ac:dyDescent="0.25">
      <c r="A37" s="122" t="str">
        <f>A283</f>
        <v>7. Benefícios e Despesas Indiretas - BDI</v>
      </c>
      <c r="B37" s="123"/>
      <c r="C37" s="113"/>
      <c r="D37" s="113"/>
      <c r="E37" s="212">
        <f>+F289</f>
        <v>9469.6297058477594</v>
      </c>
      <c r="F37" s="114">
        <f t="shared" si="0"/>
        <v>0.21691464369616287</v>
      </c>
      <c r="G37" s="41"/>
    </row>
    <row r="38" spans="1:7" s="2" customFormat="1" ht="15.75" customHeight="1" thickBot="1" x14ac:dyDescent="0.25">
      <c r="A38" s="39" t="s">
        <v>198</v>
      </c>
      <c r="B38" s="40"/>
      <c r="C38" s="24"/>
      <c r="D38" s="24"/>
      <c r="E38" s="101">
        <f>E17+E25+E26+E34+E36+E37+E35</f>
        <v>43656.018535623065</v>
      </c>
      <c r="F38" s="127">
        <f>F17+F25+F26+F34+F36+F37+F35</f>
        <v>1</v>
      </c>
      <c r="G38" s="4"/>
    </row>
    <row r="40" spans="1:7" ht="13.5" thickBot="1" x14ac:dyDescent="0.25"/>
    <row r="41" spans="1:7" s="2" customFormat="1" ht="15" customHeight="1" thickBot="1" x14ac:dyDescent="0.25">
      <c r="A41" s="427" t="s">
        <v>91</v>
      </c>
      <c r="B41" s="428"/>
      <c r="C41" s="428"/>
      <c r="D41" s="428"/>
      <c r="E41" s="429"/>
      <c r="F41" s="8"/>
      <c r="G41" s="4"/>
    </row>
    <row r="42" spans="1:7" s="2" customFormat="1" ht="15" customHeight="1" thickBot="1" x14ac:dyDescent="0.25">
      <c r="A42" s="430" t="s">
        <v>39</v>
      </c>
      <c r="B42" s="431"/>
      <c r="C42" s="431"/>
      <c r="D42" s="431"/>
      <c r="E42" s="367" t="s">
        <v>40</v>
      </c>
      <c r="F42" s="8"/>
      <c r="G42" s="4"/>
    </row>
    <row r="43" spans="1:7" s="2" customFormat="1" ht="13.9" customHeight="1" x14ac:dyDescent="0.2">
      <c r="A43" s="62" t="str">
        <f>+A55</f>
        <v xml:space="preserve">1.1 Coletor Turno Dia </v>
      </c>
      <c r="B43" s="61"/>
      <c r="C43" s="61"/>
      <c r="D43" s="68"/>
      <c r="E43" s="65">
        <v>6</v>
      </c>
      <c r="F43" s="8"/>
      <c r="G43" s="4"/>
    </row>
    <row r="44" spans="1:7" s="2" customFormat="1" ht="13.9" customHeight="1" x14ac:dyDescent="0.2">
      <c r="A44" s="62" t="str">
        <f>+A74</f>
        <v>1.2. Encarregado/Supervisor</v>
      </c>
      <c r="B44" s="61"/>
      <c r="C44" s="61"/>
      <c r="D44" s="68"/>
      <c r="E44" s="65">
        <f>C86</f>
        <v>1</v>
      </c>
      <c r="F44" s="8"/>
      <c r="G44" s="4"/>
    </row>
    <row r="45" spans="1:7" s="2" customFormat="1" ht="15" customHeight="1" x14ac:dyDescent="0.2">
      <c r="A45" s="62" t="str">
        <f>+A89</f>
        <v xml:space="preserve">1.3. Motorista Turno do dia </v>
      </c>
      <c r="B45" s="61"/>
      <c r="C45" s="61"/>
      <c r="D45" s="68"/>
      <c r="E45" s="65">
        <v>2</v>
      </c>
      <c r="F45" s="8"/>
      <c r="G45" s="4"/>
    </row>
    <row r="46" spans="1:7" s="2" customFormat="1" ht="15" customHeight="1" thickBot="1" x14ac:dyDescent="0.25">
      <c r="A46" s="66" t="s">
        <v>58</v>
      </c>
      <c r="B46" s="67"/>
      <c r="C46" s="67"/>
      <c r="D46" s="69"/>
      <c r="E46" s="70">
        <f>SUM(E43:E45)</f>
        <v>9</v>
      </c>
      <c r="F46" s="8"/>
      <c r="G46" s="4"/>
    </row>
    <row r="47" spans="1:7" s="2" customFormat="1" ht="15" customHeight="1" thickBot="1" x14ac:dyDescent="0.25">
      <c r="A47" s="115"/>
      <c r="B47" s="116"/>
      <c r="C47" s="54"/>
      <c r="D47" s="54"/>
      <c r="E47" s="117"/>
      <c r="F47" s="8"/>
      <c r="G47" s="4"/>
    </row>
    <row r="48" spans="1:7" s="2" customFormat="1" ht="15" customHeight="1" x14ac:dyDescent="0.2">
      <c r="A48" s="414" t="s">
        <v>56</v>
      </c>
      <c r="B48" s="415"/>
      <c r="C48" s="415"/>
      <c r="D48" s="415"/>
      <c r="E48" s="45" t="s">
        <v>40</v>
      </c>
      <c r="F48" s="7"/>
      <c r="G48" s="4"/>
    </row>
    <row r="49" spans="1:7" s="2" customFormat="1" ht="15" customHeight="1" thickBot="1" x14ac:dyDescent="0.25">
      <c r="A49" s="118" t="str">
        <f>+A169</f>
        <v>3.1. Veículo Coletor Compactador</v>
      </c>
      <c r="B49" s="119"/>
      <c r="C49" s="119"/>
      <c r="D49" s="120"/>
      <c r="E49" s="121">
        <v>2</v>
      </c>
      <c r="F49" s="7"/>
      <c r="G49" s="4"/>
    </row>
    <row r="50" spans="1:7" s="2" customFormat="1" ht="15" customHeight="1" x14ac:dyDescent="0.2">
      <c r="A50" s="54"/>
      <c r="B50" s="54"/>
      <c r="C50" s="54"/>
      <c r="D50" s="7"/>
      <c r="E50" s="209"/>
      <c r="F50" s="7"/>
      <c r="G50" s="4"/>
    </row>
    <row r="51" spans="1:7" s="2" customFormat="1" ht="13.5" thickBot="1" x14ac:dyDescent="0.25">
      <c r="A51" s="54"/>
      <c r="B51" s="54"/>
      <c r="C51" s="54"/>
      <c r="D51" s="7"/>
      <c r="E51" s="63"/>
      <c r="F51" s="7"/>
      <c r="G51" s="4"/>
    </row>
    <row r="52" spans="1:7" s="9" customFormat="1" ht="15.75" customHeight="1" thickBot="1" x14ac:dyDescent="0.25">
      <c r="A52" s="214" t="s">
        <v>165</v>
      </c>
      <c r="B52" s="254">
        <f>'7. Horários'!F56</f>
        <v>0.34090909090909088</v>
      </c>
      <c r="C52" s="32"/>
      <c r="E52" s="136"/>
      <c r="G52" s="41"/>
    </row>
    <row r="53" spans="1:7" s="2" customFormat="1" ht="15.75" customHeight="1" x14ac:dyDescent="0.2">
      <c r="A53" s="54"/>
      <c r="B53" s="54"/>
      <c r="C53" s="54"/>
      <c r="D53" s="7"/>
      <c r="E53" s="63"/>
      <c r="F53" s="7"/>
      <c r="G53" s="4"/>
    </row>
    <row r="54" spans="1:7" ht="13.15" customHeight="1" x14ac:dyDescent="0.2">
      <c r="A54" s="9" t="s">
        <v>47</v>
      </c>
    </row>
    <row r="55" spans="1:7" ht="13.5" thickBot="1" x14ac:dyDescent="0.25">
      <c r="A55" s="5" t="s">
        <v>388</v>
      </c>
    </row>
    <row r="56" spans="1:7" ht="13.5" thickBot="1" x14ac:dyDescent="0.25">
      <c r="A56" s="55" t="s">
        <v>62</v>
      </c>
      <c r="B56" s="56" t="s">
        <v>63</v>
      </c>
      <c r="C56" s="56" t="s">
        <v>40</v>
      </c>
      <c r="D56" s="57" t="s">
        <v>194</v>
      </c>
      <c r="E56" s="57" t="s">
        <v>64</v>
      </c>
      <c r="F56" s="58" t="s">
        <v>65</v>
      </c>
    </row>
    <row r="57" spans="1:7" x14ac:dyDescent="0.2">
      <c r="A57" s="11" t="s">
        <v>178</v>
      </c>
      <c r="B57" s="12" t="s">
        <v>8</v>
      </c>
      <c r="C57" s="12">
        <v>1</v>
      </c>
      <c r="D57" s="76">
        <v>1816.57</v>
      </c>
      <c r="E57" s="13">
        <f>C57*D57</f>
        <v>1816.57</v>
      </c>
    </row>
    <row r="58" spans="1:7" hidden="1" x14ac:dyDescent="0.2">
      <c r="A58" s="14" t="s">
        <v>7</v>
      </c>
      <c r="B58" s="15" t="s">
        <v>92</v>
      </c>
      <c r="C58" s="77">
        <v>0</v>
      </c>
      <c r="D58" s="16"/>
      <c r="E58" s="16"/>
    </row>
    <row r="59" spans="1:7" hidden="1" x14ac:dyDescent="0.2">
      <c r="A59" s="14"/>
      <c r="B59" s="15" t="s">
        <v>94</v>
      </c>
      <c r="C59" s="107">
        <f>C58*8/7</f>
        <v>0</v>
      </c>
      <c r="D59" s="16">
        <f>D57/220*0.2</f>
        <v>1.6514272727272727</v>
      </c>
      <c r="E59" s="16">
        <f>C58*D59</f>
        <v>0</v>
      </c>
    </row>
    <row r="60" spans="1:7" hidden="1" x14ac:dyDescent="0.2">
      <c r="A60" s="14" t="s">
        <v>34</v>
      </c>
      <c r="B60" s="15" t="s">
        <v>0</v>
      </c>
      <c r="C60" s="77"/>
      <c r="D60" s="16">
        <f>D57/220*2</f>
        <v>16.514272727272726</v>
      </c>
      <c r="E60" s="16">
        <f>C60*D60</f>
        <v>0</v>
      </c>
    </row>
    <row r="61" spans="1:7" hidden="1" x14ac:dyDescent="0.2">
      <c r="A61" s="14" t="s">
        <v>93</v>
      </c>
      <c r="B61" s="15" t="s">
        <v>92</v>
      </c>
      <c r="C61" s="77"/>
      <c r="D61" s="16"/>
      <c r="E61" s="16"/>
    </row>
    <row r="62" spans="1:7" hidden="1" x14ac:dyDescent="0.2">
      <c r="A62" s="14"/>
      <c r="B62" s="15" t="s">
        <v>94</v>
      </c>
      <c r="C62" s="107">
        <f>C61*8/7</f>
        <v>0</v>
      </c>
      <c r="D62" s="16">
        <f>D57/220*2*1.2</f>
        <v>19.817127272727269</v>
      </c>
      <c r="E62" s="16">
        <f>C62*D62</f>
        <v>0</v>
      </c>
    </row>
    <row r="63" spans="1:7" hidden="1" x14ac:dyDescent="0.2">
      <c r="A63" s="14" t="s">
        <v>35</v>
      </c>
      <c r="B63" s="15" t="s">
        <v>0</v>
      </c>
      <c r="C63" s="77"/>
      <c r="D63" s="16">
        <f>D57/220*1.5</f>
        <v>12.385704545454544</v>
      </c>
      <c r="E63" s="16">
        <f>C63*D63</f>
        <v>0</v>
      </c>
    </row>
    <row r="64" spans="1:7" hidden="1" x14ac:dyDescent="0.2">
      <c r="A64" s="14" t="s">
        <v>180</v>
      </c>
      <c r="B64" s="15" t="s">
        <v>92</v>
      </c>
      <c r="C64" s="77">
        <v>0</v>
      </c>
      <c r="D64" s="16"/>
      <c r="E64" s="16"/>
    </row>
    <row r="65" spans="1:10" hidden="1" x14ac:dyDescent="0.2">
      <c r="A65" s="14"/>
      <c r="B65" s="15" t="s">
        <v>94</v>
      </c>
      <c r="C65" s="16">
        <f>C64*8/7</f>
        <v>0</v>
      </c>
      <c r="D65" s="16">
        <f>D57/220*1.5*1.2</f>
        <v>14.862845454545452</v>
      </c>
      <c r="E65" s="16">
        <f>C65*D65</f>
        <v>0</v>
      </c>
    </row>
    <row r="66" spans="1:10" ht="13.15" hidden="1" customHeight="1" x14ac:dyDescent="0.2">
      <c r="A66" s="14" t="s">
        <v>181</v>
      </c>
      <c r="B66" s="15" t="s">
        <v>33</v>
      </c>
      <c r="D66" s="16">
        <f>63/302*(SUM(E60:E65))</f>
        <v>0</v>
      </c>
      <c r="E66" s="16">
        <f>D66</f>
        <v>0</v>
      </c>
    </row>
    <row r="67" spans="1:10" x14ac:dyDescent="0.2">
      <c r="A67" s="14" t="s">
        <v>1</v>
      </c>
      <c r="B67" s="15" t="s">
        <v>2</v>
      </c>
      <c r="C67" s="15">
        <v>40</v>
      </c>
      <c r="D67" s="72">
        <f>SUM(E57:E66)</f>
        <v>1816.57</v>
      </c>
      <c r="E67" s="16">
        <f>C67*D67/100</f>
        <v>726.62800000000004</v>
      </c>
    </row>
    <row r="68" spans="1:10" x14ac:dyDescent="0.2">
      <c r="A68" s="103" t="s">
        <v>3</v>
      </c>
      <c r="B68" s="104"/>
      <c r="C68" s="104"/>
      <c r="D68" s="105"/>
      <c r="E68" s="106">
        <f>SUM(E57:E67)</f>
        <v>2543.1979999999999</v>
      </c>
    </row>
    <row r="69" spans="1:10" x14ac:dyDescent="0.2">
      <c r="A69" s="14" t="s">
        <v>4</v>
      </c>
      <c r="B69" s="15" t="s">
        <v>2</v>
      </c>
      <c r="C69" s="125">
        <f>'3.Enc Sociais'!$C$38*100</f>
        <v>69.355340000000012</v>
      </c>
      <c r="D69" s="16">
        <f>E68</f>
        <v>2543.1979999999999</v>
      </c>
      <c r="E69" s="16">
        <f>D69*C69/100</f>
        <v>1763.8436197732001</v>
      </c>
    </row>
    <row r="70" spans="1:10" x14ac:dyDescent="0.2">
      <c r="A70" s="103" t="s">
        <v>70</v>
      </c>
      <c r="B70" s="104"/>
      <c r="C70" s="104"/>
      <c r="D70" s="105"/>
      <c r="E70" s="106">
        <f>E68+E69</f>
        <v>4307.0416197732002</v>
      </c>
    </row>
    <row r="71" spans="1:10" ht="13.5" thickBot="1" x14ac:dyDescent="0.25">
      <c r="A71" s="14" t="s">
        <v>5</v>
      </c>
      <c r="B71" s="15" t="s">
        <v>6</v>
      </c>
      <c r="C71" s="79">
        <f>E43</f>
        <v>6</v>
      </c>
      <c r="D71" s="16">
        <f>E70</f>
        <v>4307.0416197732002</v>
      </c>
      <c r="E71" s="16">
        <f>C71*D71</f>
        <v>25842.249718639199</v>
      </c>
    </row>
    <row r="72" spans="1:10" ht="13.5" thickBot="1" x14ac:dyDescent="0.25">
      <c r="A72" s="5" t="s">
        <v>373</v>
      </c>
      <c r="D72" s="109" t="s">
        <v>164</v>
      </c>
      <c r="E72" s="255">
        <f>$B$52</f>
        <v>0.34090909090909088</v>
      </c>
      <c r="F72" s="110">
        <f>E71*E72</f>
        <v>8809.8578586269996</v>
      </c>
      <c r="I72" s="310"/>
      <c r="J72" s="310"/>
    </row>
    <row r="73" spans="1:10" ht="11.25" customHeight="1" x14ac:dyDescent="0.2"/>
    <row r="74" spans="1:10" ht="13.5" thickBot="1" x14ac:dyDescent="0.25">
      <c r="A74" s="5" t="s">
        <v>356</v>
      </c>
    </row>
    <row r="75" spans="1:10" s="10" customFormat="1" ht="13.15" customHeight="1" thickBot="1" x14ac:dyDescent="0.25">
      <c r="A75" s="55" t="s">
        <v>62</v>
      </c>
      <c r="B75" s="56" t="s">
        <v>63</v>
      </c>
      <c r="C75" s="56" t="s">
        <v>40</v>
      </c>
      <c r="D75" s="57" t="s">
        <v>194</v>
      </c>
      <c r="E75" s="57" t="s">
        <v>64</v>
      </c>
      <c r="F75" s="58" t="s">
        <v>65</v>
      </c>
      <c r="G75" s="8"/>
    </row>
    <row r="76" spans="1:10" x14ac:dyDescent="0.2">
      <c r="A76" s="251" t="s">
        <v>239</v>
      </c>
      <c r="B76" s="12" t="s">
        <v>8</v>
      </c>
      <c r="C76" s="12">
        <v>1</v>
      </c>
      <c r="D76" s="253">
        <v>2500</v>
      </c>
      <c r="E76" s="13">
        <f>C76*D76</f>
        <v>2500</v>
      </c>
    </row>
    <row r="77" spans="1:10" hidden="1" x14ac:dyDescent="0.2">
      <c r="A77" s="251" t="s">
        <v>240</v>
      </c>
      <c r="B77" s="12" t="s">
        <v>8</v>
      </c>
      <c r="C77" s="12">
        <v>1</v>
      </c>
      <c r="D77" s="76">
        <v>0</v>
      </c>
      <c r="E77" s="13"/>
    </row>
    <row r="78" spans="1:10" hidden="1" x14ac:dyDescent="0.2">
      <c r="A78" s="14" t="s">
        <v>34</v>
      </c>
      <c r="B78" s="15" t="s">
        <v>0</v>
      </c>
      <c r="C78" s="77"/>
      <c r="D78" s="16">
        <f>D76/220*2</f>
        <v>22.727272727272727</v>
      </c>
      <c r="E78" s="16">
        <f>C78*D78</f>
        <v>0</v>
      </c>
    </row>
    <row r="79" spans="1:10" hidden="1" x14ac:dyDescent="0.2">
      <c r="A79" s="14" t="s">
        <v>35</v>
      </c>
      <c r="B79" s="15" t="s">
        <v>0</v>
      </c>
      <c r="C79" s="77"/>
      <c r="D79" s="16">
        <f>D76/220*1.5</f>
        <v>17.045454545454547</v>
      </c>
      <c r="E79" s="16">
        <f>C79*D79</f>
        <v>0</v>
      </c>
    </row>
    <row r="80" spans="1:10" ht="13.15" hidden="1" customHeight="1" x14ac:dyDescent="0.2">
      <c r="A80" s="14" t="s">
        <v>181</v>
      </c>
      <c r="B80" s="15" t="s">
        <v>33</v>
      </c>
      <c r="D80" s="16">
        <f>63/302*(SUM(E78:E79))</f>
        <v>0</v>
      </c>
      <c r="E80" s="16">
        <f>D80</f>
        <v>0</v>
      </c>
    </row>
    <row r="81" spans="1:9" hidden="1" x14ac:dyDescent="0.2">
      <c r="A81" s="14" t="s">
        <v>179</v>
      </c>
      <c r="B81" s="15"/>
      <c r="C81" s="79">
        <v>1</v>
      </c>
      <c r="D81" s="16"/>
      <c r="E81" s="16"/>
    </row>
    <row r="82" spans="1:9" hidden="1" x14ac:dyDescent="0.2">
      <c r="A82" s="14" t="s">
        <v>1</v>
      </c>
      <c r="B82" s="15" t="s">
        <v>2</v>
      </c>
      <c r="C82" s="75">
        <v>20</v>
      </c>
      <c r="D82" s="72">
        <f>IF(C81=2,SUM(E76:E80),IF(C81=1,(SUM(E76:E80))*D77/D76,0))</f>
        <v>0</v>
      </c>
      <c r="E82" s="16">
        <f>C82*D82/100</f>
        <v>0</v>
      </c>
    </row>
    <row r="83" spans="1:9" s="9" customFormat="1" x14ac:dyDescent="0.2">
      <c r="A83" s="90" t="s">
        <v>3</v>
      </c>
      <c r="B83" s="104"/>
      <c r="C83" s="104"/>
      <c r="D83" s="105"/>
      <c r="E83" s="92">
        <f>SUM(E76:E82)</f>
        <v>2500</v>
      </c>
      <c r="F83" s="41"/>
      <c r="G83" s="41"/>
    </row>
    <row r="84" spans="1:9" x14ac:dyDescent="0.2">
      <c r="A84" s="14" t="s">
        <v>4</v>
      </c>
      <c r="B84" s="15" t="s">
        <v>2</v>
      </c>
      <c r="C84" s="125">
        <f>'3.Enc Sociais'!$C$38*100</f>
        <v>69.355340000000012</v>
      </c>
      <c r="D84" s="16">
        <f>E83</f>
        <v>2500</v>
      </c>
      <c r="E84" s="16">
        <f>D84*C84/100</f>
        <v>1733.8835000000004</v>
      </c>
    </row>
    <row r="85" spans="1:9" s="9" customFormat="1" x14ac:dyDescent="0.2">
      <c r="A85" s="90" t="s">
        <v>382</v>
      </c>
      <c r="B85" s="220"/>
      <c r="C85" s="220"/>
      <c r="D85" s="221"/>
      <c r="E85" s="92">
        <f>E83+E84</f>
        <v>4233.8834999999999</v>
      </c>
      <c r="F85" s="41"/>
      <c r="G85" s="41"/>
    </row>
    <row r="86" spans="1:9" ht="13.5" thickBot="1" x14ac:dyDescent="0.25">
      <c r="A86" s="14" t="s">
        <v>5</v>
      </c>
      <c r="B86" s="15" t="s">
        <v>6</v>
      </c>
      <c r="C86" s="75">
        <v>1</v>
      </c>
      <c r="D86" s="16">
        <f>E85</f>
        <v>4233.8834999999999</v>
      </c>
      <c r="E86" s="16">
        <f>C86*D86</f>
        <v>4233.8834999999999</v>
      </c>
    </row>
    <row r="87" spans="1:9" ht="13.5" thickBot="1" x14ac:dyDescent="0.25">
      <c r="A87" s="5" t="s">
        <v>466</v>
      </c>
      <c r="D87" s="109" t="s">
        <v>164</v>
      </c>
      <c r="E87" s="255">
        <f>14/44</f>
        <v>0.31818181818181818</v>
      </c>
      <c r="F87" s="110">
        <f>E86*E87</f>
        <v>1347.1447499999999</v>
      </c>
      <c r="H87" s="261"/>
    </row>
    <row r="88" spans="1:9" ht="11.25" customHeight="1" x14ac:dyDescent="0.2">
      <c r="A88" s="5"/>
    </row>
    <row r="89" spans="1:9" ht="13.5" thickBot="1" x14ac:dyDescent="0.25">
      <c r="A89" s="5" t="s">
        <v>358</v>
      </c>
      <c r="I89" s="5"/>
    </row>
    <row r="90" spans="1:9" ht="13.5" thickBot="1" x14ac:dyDescent="0.25">
      <c r="A90" s="55" t="s">
        <v>62</v>
      </c>
      <c r="B90" s="56" t="s">
        <v>63</v>
      </c>
      <c r="C90" s="56" t="s">
        <v>40</v>
      </c>
      <c r="D90" s="57" t="s">
        <v>194</v>
      </c>
      <c r="E90" s="57" t="s">
        <v>64</v>
      </c>
      <c r="F90" s="58" t="s">
        <v>65</v>
      </c>
    </row>
    <row r="91" spans="1:9" x14ac:dyDescent="0.2">
      <c r="A91" s="251" t="s">
        <v>341</v>
      </c>
      <c r="B91" s="12" t="s">
        <v>8</v>
      </c>
      <c r="C91" s="12">
        <v>1</v>
      </c>
      <c r="D91" s="253">
        <v>1968.4</v>
      </c>
      <c r="E91" s="13">
        <f>C91*D91</f>
        <v>1968.4</v>
      </c>
    </row>
    <row r="92" spans="1:9" x14ac:dyDescent="0.2">
      <c r="A92" s="251" t="s">
        <v>240</v>
      </c>
      <c r="B92" s="12" t="s">
        <v>8</v>
      </c>
      <c r="C92" s="12">
        <v>1</v>
      </c>
      <c r="D92" s="78">
        <v>1412</v>
      </c>
      <c r="E92" s="16"/>
    </row>
    <row r="93" spans="1:9" hidden="1" x14ac:dyDescent="0.2">
      <c r="A93" s="14" t="s">
        <v>7</v>
      </c>
      <c r="B93" s="15" t="s">
        <v>92</v>
      </c>
      <c r="C93" s="77">
        <v>0</v>
      </c>
      <c r="D93" s="14"/>
      <c r="E93" s="14"/>
    </row>
    <row r="94" spans="1:9" hidden="1" x14ac:dyDescent="0.2">
      <c r="A94" s="14"/>
      <c r="B94" s="15" t="s">
        <v>94</v>
      </c>
      <c r="C94" s="16">
        <f>C93*8/7</f>
        <v>0</v>
      </c>
      <c r="D94" s="16">
        <f>D91/220*0.2</f>
        <v>1.7894545454545456</v>
      </c>
      <c r="E94" s="16">
        <f>C93*D94</f>
        <v>0</v>
      </c>
    </row>
    <row r="95" spans="1:9" hidden="1" x14ac:dyDescent="0.2">
      <c r="A95" s="14" t="s">
        <v>34</v>
      </c>
      <c r="B95" s="15" t="s">
        <v>0</v>
      </c>
      <c r="C95" s="77"/>
      <c r="D95" s="16">
        <f>D91/220*2</f>
        <v>17.894545454545455</v>
      </c>
      <c r="E95" s="16">
        <f>C95*D95</f>
        <v>0</v>
      </c>
    </row>
    <row r="96" spans="1:9" hidden="1" x14ac:dyDescent="0.2">
      <c r="A96" s="14" t="s">
        <v>93</v>
      </c>
      <c r="B96" s="15" t="s">
        <v>92</v>
      </c>
      <c r="C96" s="77"/>
      <c r="D96" s="16"/>
      <c r="E96" s="16"/>
    </row>
    <row r="97" spans="1:10" hidden="1" x14ac:dyDescent="0.2">
      <c r="A97" s="14"/>
      <c r="B97" s="15" t="s">
        <v>94</v>
      </c>
      <c r="C97" s="16">
        <f>C96*8/7</f>
        <v>0</v>
      </c>
      <c r="D97" s="16">
        <f>D91/220*2*1.2</f>
        <v>21.473454545454544</v>
      </c>
      <c r="E97" s="16">
        <f>C97*D97</f>
        <v>0</v>
      </c>
    </row>
    <row r="98" spans="1:10" hidden="1" x14ac:dyDescent="0.2">
      <c r="A98" s="14" t="s">
        <v>35</v>
      </c>
      <c r="B98" s="15" t="s">
        <v>0</v>
      </c>
      <c r="C98" s="77"/>
      <c r="D98" s="16">
        <f>D91/220*1.5</f>
        <v>13.420909090909092</v>
      </c>
      <c r="E98" s="16">
        <f>C98*D98</f>
        <v>0</v>
      </c>
    </row>
    <row r="99" spans="1:10" hidden="1" x14ac:dyDescent="0.2">
      <c r="A99" s="14" t="s">
        <v>180</v>
      </c>
      <c r="B99" s="15" t="s">
        <v>92</v>
      </c>
      <c r="C99" s="77"/>
      <c r="D99" s="16"/>
      <c r="E99" s="16"/>
    </row>
    <row r="100" spans="1:10" hidden="1" x14ac:dyDescent="0.2">
      <c r="A100" s="14"/>
      <c r="B100" s="15" t="s">
        <v>94</v>
      </c>
      <c r="C100" s="16">
        <f>C99*8/7</f>
        <v>0</v>
      </c>
      <c r="D100" s="16">
        <f>D91/220*1.5*1.2</f>
        <v>16.105090909090908</v>
      </c>
      <c r="E100" s="16">
        <f>C100*D100</f>
        <v>0</v>
      </c>
    </row>
    <row r="101" spans="1:10" ht="13.15" hidden="1" customHeight="1" x14ac:dyDescent="0.2">
      <c r="A101" s="14" t="s">
        <v>181</v>
      </c>
      <c r="B101" s="15" t="s">
        <v>33</v>
      </c>
      <c r="D101" s="16">
        <f>63/302*(SUM(E95:E100))</f>
        <v>0</v>
      </c>
      <c r="E101" s="16">
        <f>D101</f>
        <v>0</v>
      </c>
    </row>
    <row r="102" spans="1:10" x14ac:dyDescent="0.2">
      <c r="A102" s="14" t="s">
        <v>179</v>
      </c>
      <c r="B102" s="15"/>
      <c r="C102" s="79">
        <v>1</v>
      </c>
      <c r="D102" s="16"/>
      <c r="E102" s="16"/>
    </row>
    <row r="103" spans="1:10" x14ac:dyDescent="0.2">
      <c r="A103" s="14" t="s">
        <v>1</v>
      </c>
      <c r="B103" s="15" t="s">
        <v>2</v>
      </c>
      <c r="C103" s="72">
        <v>40</v>
      </c>
      <c r="D103" s="72">
        <f>D92</f>
        <v>1412</v>
      </c>
      <c r="E103" s="16">
        <f>C103*D103/100</f>
        <v>564.79999999999995</v>
      </c>
    </row>
    <row r="104" spans="1:10" s="9" customFormat="1" x14ac:dyDescent="0.2">
      <c r="A104" s="103" t="s">
        <v>3</v>
      </c>
      <c r="B104" s="104"/>
      <c r="C104" s="104"/>
      <c r="D104" s="105"/>
      <c r="E104" s="106">
        <f>SUM(E91:E103)</f>
        <v>2533.1999999999998</v>
      </c>
      <c r="F104" s="41"/>
      <c r="G104" s="41"/>
    </row>
    <row r="105" spans="1:10" x14ac:dyDescent="0.2">
      <c r="A105" s="14" t="s">
        <v>4</v>
      </c>
      <c r="B105" s="15" t="s">
        <v>2</v>
      </c>
      <c r="C105" s="125">
        <f>'3.Enc Sociais'!$C$38*100</f>
        <v>69.355340000000012</v>
      </c>
      <c r="D105" s="16">
        <f>E104</f>
        <v>2533.1999999999998</v>
      </c>
      <c r="E105" s="16">
        <f>D105*C105/100</f>
        <v>1756.9094728800003</v>
      </c>
    </row>
    <row r="106" spans="1:10" s="9" customFormat="1" x14ac:dyDescent="0.2">
      <c r="A106" s="103" t="s">
        <v>382</v>
      </c>
      <c r="B106" s="104"/>
      <c r="C106" s="104"/>
      <c r="D106" s="105"/>
      <c r="E106" s="106">
        <f>E104+E105</f>
        <v>4290.1094728799999</v>
      </c>
      <c r="F106" s="41"/>
      <c r="G106" s="41"/>
    </row>
    <row r="107" spans="1:10" ht="13.5" thickBot="1" x14ac:dyDescent="0.25">
      <c r="A107" s="14" t="s">
        <v>5</v>
      </c>
      <c r="B107" s="15" t="s">
        <v>6</v>
      </c>
      <c r="C107" s="79">
        <f>E45</f>
        <v>2</v>
      </c>
      <c r="D107" s="16">
        <f>E106</f>
        <v>4290.1094728799999</v>
      </c>
      <c r="E107" s="16">
        <f>C107*D107</f>
        <v>8580.2189457599998</v>
      </c>
    </row>
    <row r="108" spans="1:10" ht="13.5" thickBot="1" x14ac:dyDescent="0.25">
      <c r="A108" s="5" t="s">
        <v>465</v>
      </c>
      <c r="D108" s="109" t="s">
        <v>164</v>
      </c>
      <c r="E108" s="255">
        <f>'7. Horários'!F68</f>
        <v>0.42272727272727273</v>
      </c>
      <c r="F108" s="110">
        <f>E107*E108</f>
        <v>3627.0925543439998</v>
      </c>
      <c r="G108" s="277"/>
      <c r="I108" s="310"/>
      <c r="J108" s="310"/>
    </row>
    <row r="109" spans="1:10" ht="11.25" customHeight="1" x14ac:dyDescent="0.2">
      <c r="G109" s="7"/>
    </row>
    <row r="110" spans="1:10" ht="13.5" thickBot="1" x14ac:dyDescent="0.25">
      <c r="A110" s="5" t="s">
        <v>334</v>
      </c>
      <c r="B110" s="82"/>
      <c r="D110" s="7"/>
      <c r="E110" s="261"/>
      <c r="G110" s="7"/>
    </row>
    <row r="111" spans="1:10" ht="13.5" thickBot="1" x14ac:dyDescent="0.25">
      <c r="A111" s="55" t="s">
        <v>62</v>
      </c>
      <c r="B111" s="56" t="s">
        <v>63</v>
      </c>
      <c r="C111" s="56" t="s">
        <v>40</v>
      </c>
      <c r="D111" s="57" t="s">
        <v>194</v>
      </c>
      <c r="E111" s="57" t="s">
        <v>64</v>
      </c>
      <c r="F111" s="58" t="s">
        <v>65</v>
      </c>
      <c r="G111" s="7"/>
    </row>
    <row r="112" spans="1:10" x14ac:dyDescent="0.2">
      <c r="A112" s="14" t="s">
        <v>85</v>
      </c>
      <c r="B112" s="15" t="s">
        <v>33</v>
      </c>
      <c r="C112" s="83">
        <v>1</v>
      </c>
      <c r="D112" s="81">
        <v>4.68</v>
      </c>
      <c r="E112" s="16"/>
      <c r="G112" s="7"/>
    </row>
    <row r="113" spans="1:8" x14ac:dyDescent="0.2">
      <c r="A113" s="14" t="s">
        <v>86</v>
      </c>
      <c r="B113" s="15" t="s">
        <v>87</v>
      </c>
      <c r="C113" s="80">
        <v>9</v>
      </c>
      <c r="D113" s="16"/>
      <c r="E113" s="16"/>
      <c r="G113" s="74"/>
      <c r="H113" s="74"/>
    </row>
    <row r="114" spans="1:8" x14ac:dyDescent="0.2">
      <c r="A114" s="14" t="s">
        <v>71</v>
      </c>
      <c r="B114" s="15" t="s">
        <v>9</v>
      </c>
      <c r="C114" s="34">
        <f>C71*C113*2</f>
        <v>108</v>
      </c>
      <c r="D114" s="13">
        <f>D112-(E57/50*0.06)</f>
        <v>2.5001159999999998</v>
      </c>
      <c r="E114" s="16">
        <f>IFERROR(C114*D114,"-")</f>
        <v>270.01252799999997</v>
      </c>
      <c r="H114" s="74"/>
    </row>
    <row r="115" spans="1:8" ht="13.5" thickBot="1" x14ac:dyDescent="0.25">
      <c r="A115" s="11" t="s">
        <v>44</v>
      </c>
      <c r="B115" s="12" t="s">
        <v>9</v>
      </c>
      <c r="C115" s="34">
        <f>$C$113*2*(C107)</f>
        <v>36</v>
      </c>
      <c r="D115" s="13">
        <f>D112-(E76/50*0.06)</f>
        <v>1.6799999999999997</v>
      </c>
      <c r="E115" s="13">
        <f>IFERROR(C115*D115,"-")</f>
        <v>60.47999999999999</v>
      </c>
      <c r="G115" s="7"/>
      <c r="H115" s="74"/>
    </row>
    <row r="116" spans="1:8" ht="13.5" thickBot="1" x14ac:dyDescent="0.25">
      <c r="F116" s="20">
        <f>SUM(E114:E115)</f>
        <v>330.49252799999999</v>
      </c>
      <c r="G116" s="7"/>
    </row>
    <row r="117" spans="1:8" ht="11.25" customHeight="1" x14ac:dyDescent="0.2">
      <c r="G117" s="7"/>
    </row>
    <row r="118" spans="1:8" ht="13.5" thickBot="1" x14ac:dyDescent="0.25">
      <c r="A118" s="5" t="s">
        <v>386</v>
      </c>
      <c r="F118" s="21"/>
      <c r="G118" s="7"/>
    </row>
    <row r="119" spans="1:8" ht="13.5" thickBot="1" x14ac:dyDescent="0.25">
      <c r="A119" s="55" t="s">
        <v>62</v>
      </c>
      <c r="B119" s="56" t="s">
        <v>63</v>
      </c>
      <c r="C119" s="56" t="s">
        <v>40</v>
      </c>
      <c r="D119" s="57" t="s">
        <v>194</v>
      </c>
      <c r="E119" s="57" t="s">
        <v>64</v>
      </c>
      <c r="F119" s="58" t="s">
        <v>65</v>
      </c>
      <c r="G119" s="7"/>
    </row>
    <row r="120" spans="1:8" x14ac:dyDescent="0.2">
      <c r="A120" s="14" t="str">
        <f>+A114</f>
        <v>Coletor</v>
      </c>
      <c r="B120" s="15" t="s">
        <v>10</v>
      </c>
      <c r="C120" s="89">
        <f>C113*(E43)</f>
        <v>54</v>
      </c>
      <c r="D120" s="78">
        <f>23.68*0.81</f>
        <v>19.180800000000001</v>
      </c>
      <c r="E120" s="47">
        <f>C120*D120</f>
        <v>1035.7632000000001</v>
      </c>
      <c r="F120" s="21"/>
      <c r="G120" s="7"/>
    </row>
    <row r="121" spans="1:8" hidden="1" x14ac:dyDescent="0.2">
      <c r="A121" s="259" t="s">
        <v>44</v>
      </c>
      <c r="B121" s="15" t="s">
        <v>10</v>
      </c>
      <c r="C121" s="89">
        <f>C113*(E45)</f>
        <v>18</v>
      </c>
      <c r="D121" s="78">
        <v>0</v>
      </c>
      <c r="E121" s="47">
        <f>C121*D121</f>
        <v>0</v>
      </c>
      <c r="F121" s="21"/>
      <c r="G121" s="7"/>
    </row>
    <row r="122" spans="1:8" ht="13.5" thickBot="1" x14ac:dyDescent="0.25">
      <c r="A122" s="259" t="s">
        <v>300</v>
      </c>
      <c r="B122" s="15" t="s">
        <v>10</v>
      </c>
      <c r="C122" s="89">
        <v>8</v>
      </c>
      <c r="D122" s="78">
        <f>23.68*0.81</f>
        <v>19.180800000000001</v>
      </c>
      <c r="E122" s="47">
        <f>C122*D122</f>
        <v>153.44640000000001</v>
      </c>
      <c r="F122" s="21"/>
      <c r="G122" s="7"/>
    </row>
    <row r="123" spans="1:8" ht="13.5" thickBot="1" x14ac:dyDescent="0.25">
      <c r="F123" s="20">
        <f>SUM(E120:E122)</f>
        <v>1189.2096000000001</v>
      </c>
      <c r="G123" s="7"/>
    </row>
    <row r="124" spans="1:8" x14ac:dyDescent="0.2">
      <c r="G124" s="7"/>
    </row>
    <row r="125" spans="1:8" ht="13.5" thickBot="1" x14ac:dyDescent="0.25">
      <c r="A125" s="5" t="s">
        <v>335</v>
      </c>
      <c r="F125" s="21"/>
      <c r="G125" s="7"/>
    </row>
    <row r="126" spans="1:8" ht="13.5" thickBot="1" x14ac:dyDescent="0.25">
      <c r="A126" s="55" t="s">
        <v>62</v>
      </c>
      <c r="B126" s="56" t="s">
        <v>63</v>
      </c>
      <c r="C126" s="56" t="s">
        <v>40</v>
      </c>
      <c r="D126" s="57" t="s">
        <v>194</v>
      </c>
      <c r="E126" s="57" t="s">
        <v>64</v>
      </c>
      <c r="F126" s="58" t="s">
        <v>65</v>
      </c>
      <c r="G126" s="7"/>
    </row>
    <row r="127" spans="1:8" ht="13.5" thickBot="1" x14ac:dyDescent="0.25">
      <c r="A127" s="14" t="str">
        <f>A121</f>
        <v>Motorista</v>
      </c>
      <c r="B127" s="15" t="s">
        <v>10</v>
      </c>
      <c r="C127" s="89">
        <f>E45</f>
        <v>2</v>
      </c>
      <c r="D127" s="78">
        <v>333</v>
      </c>
      <c r="E127" s="47">
        <f>C127*D127</f>
        <v>666</v>
      </c>
      <c r="F127" s="21"/>
      <c r="G127" s="7"/>
    </row>
    <row r="128" spans="1:8" ht="13.5" thickBot="1" x14ac:dyDescent="0.25">
      <c r="D128" s="109" t="s">
        <v>164</v>
      </c>
      <c r="E128" s="255">
        <f>E108</f>
        <v>0.42272727272727273</v>
      </c>
      <c r="F128" s="20">
        <f>SUM(E127:E127)*E128</f>
        <v>281.53636363636366</v>
      </c>
      <c r="G128" s="7"/>
    </row>
    <row r="129" spans="1:7" x14ac:dyDescent="0.2">
      <c r="D129" s="109"/>
      <c r="E129" s="279"/>
      <c r="G129" s="7"/>
    </row>
    <row r="130" spans="1:7" ht="13.5" thickBot="1" x14ac:dyDescent="0.25">
      <c r="A130" s="5" t="s">
        <v>336</v>
      </c>
      <c r="B130" s="5"/>
      <c r="C130" s="5"/>
      <c r="D130" s="264"/>
      <c r="E130" s="264"/>
      <c r="F130" s="21"/>
      <c r="G130" s="7"/>
    </row>
    <row r="131" spans="1:7" ht="13.5" thickBot="1" x14ac:dyDescent="0.25">
      <c r="A131" s="55" t="s">
        <v>62</v>
      </c>
      <c r="B131" s="56" t="s">
        <v>63</v>
      </c>
      <c r="C131" s="56" t="s">
        <v>40</v>
      </c>
      <c r="D131" s="57" t="s">
        <v>194</v>
      </c>
      <c r="E131" s="57" t="s">
        <v>64</v>
      </c>
      <c r="F131" s="58" t="s">
        <v>65</v>
      </c>
      <c r="G131" s="7"/>
    </row>
    <row r="132" spans="1:7" ht="13.5" thickBot="1" x14ac:dyDescent="0.25">
      <c r="A132" s="259" t="s">
        <v>307</v>
      </c>
      <c r="B132" s="278" t="s">
        <v>10</v>
      </c>
      <c r="C132" s="280">
        <f>C71</f>
        <v>6</v>
      </c>
      <c r="D132" s="281">
        <v>19.420000000000002</v>
      </c>
      <c r="E132" s="282">
        <f>C132*D132</f>
        <v>116.52000000000001</v>
      </c>
      <c r="F132" s="21"/>
      <c r="G132" s="7"/>
    </row>
    <row r="133" spans="1:7" ht="13.5" thickBot="1" x14ac:dyDescent="0.25">
      <c r="A133" s="283"/>
      <c r="B133" s="283"/>
      <c r="C133" s="5"/>
      <c r="D133" s="266" t="s">
        <v>306</v>
      </c>
      <c r="E133" s="288">
        <v>1</v>
      </c>
      <c r="F133" s="284">
        <f>SUM(E132:E132)*E133</f>
        <v>116.52000000000001</v>
      </c>
      <c r="G133" s="7"/>
    </row>
    <row r="134" spans="1:7" ht="13.5" thickBot="1" x14ac:dyDescent="0.25">
      <c r="D134" s="109"/>
      <c r="E134" s="279"/>
      <c r="G134" s="7"/>
    </row>
    <row r="135" spans="1:7" ht="13.5" thickBot="1" x14ac:dyDescent="0.25">
      <c r="A135" s="22" t="s">
        <v>88</v>
      </c>
      <c r="B135" s="23"/>
      <c r="C135" s="23"/>
      <c r="D135" s="24"/>
      <c r="E135" s="25"/>
      <c r="F135" s="20">
        <f>F128+F123+F116+F108+F87+F72+F133</f>
        <v>15701.853654607363</v>
      </c>
      <c r="G135" s="7"/>
    </row>
    <row r="137" spans="1:7" x14ac:dyDescent="0.2">
      <c r="A137" s="9" t="s">
        <v>45</v>
      </c>
      <c r="G137" s="7"/>
    </row>
    <row r="138" spans="1:7" ht="13.9" customHeight="1" thickBot="1" x14ac:dyDescent="0.25">
      <c r="A138" s="7" t="s">
        <v>166</v>
      </c>
      <c r="G138" s="7"/>
    </row>
    <row r="139" spans="1:7" ht="27.75" customHeight="1" thickBot="1" x14ac:dyDescent="0.25">
      <c r="A139" s="55" t="s">
        <v>62</v>
      </c>
      <c r="B139" s="56" t="s">
        <v>63</v>
      </c>
      <c r="C139" s="222" t="s">
        <v>204</v>
      </c>
      <c r="D139" s="57" t="s">
        <v>194</v>
      </c>
      <c r="E139" s="57" t="s">
        <v>64</v>
      </c>
      <c r="F139" s="58" t="s">
        <v>65</v>
      </c>
      <c r="G139" s="7"/>
    </row>
    <row r="140" spans="1:7" x14ac:dyDescent="0.2">
      <c r="A140" s="251" t="s">
        <v>66</v>
      </c>
      <c r="B140" s="292" t="s">
        <v>10</v>
      </c>
      <c r="C140" s="258">
        <v>12</v>
      </c>
      <c r="D140" s="253">
        <v>155</v>
      </c>
      <c r="E140" s="289">
        <f>IFERROR(D140/C140,0)</f>
        <v>12.916666666666666</v>
      </c>
      <c r="G140" s="7"/>
    </row>
    <row r="141" spans="1:7" ht="13.15" customHeight="1" x14ac:dyDescent="0.2">
      <c r="A141" s="259" t="s">
        <v>29</v>
      </c>
      <c r="B141" s="278" t="s">
        <v>10</v>
      </c>
      <c r="C141" s="258">
        <v>6</v>
      </c>
      <c r="D141" s="257">
        <v>70</v>
      </c>
      <c r="E141" s="289">
        <f t="shared" ref="E141:E151" si="1">IFERROR(D141/C141,0)</f>
        <v>11.666666666666666</v>
      </c>
      <c r="G141" s="7"/>
    </row>
    <row r="142" spans="1:7" ht="13.15" customHeight="1" x14ac:dyDescent="0.2">
      <c r="A142" s="259" t="s">
        <v>339</v>
      </c>
      <c r="B142" s="278" t="s">
        <v>10</v>
      </c>
      <c r="C142" s="258">
        <v>6</v>
      </c>
      <c r="D142" s="257">
        <v>56</v>
      </c>
      <c r="E142" s="289">
        <f t="shared" si="1"/>
        <v>9.3333333333333339</v>
      </c>
      <c r="G142" s="7"/>
    </row>
    <row r="143" spans="1:7" x14ac:dyDescent="0.2">
      <c r="A143" s="259" t="s">
        <v>340</v>
      </c>
      <c r="B143" s="278" t="s">
        <v>10</v>
      </c>
      <c r="C143" s="258">
        <v>4</v>
      </c>
      <c r="D143" s="257">
        <v>43</v>
      </c>
      <c r="E143" s="289">
        <f t="shared" si="1"/>
        <v>10.75</v>
      </c>
      <c r="G143" s="7"/>
    </row>
    <row r="144" spans="1:7" x14ac:dyDescent="0.2">
      <c r="A144" s="259" t="s">
        <v>374</v>
      </c>
      <c r="B144" s="278" t="s">
        <v>10</v>
      </c>
      <c r="C144" s="258">
        <v>4</v>
      </c>
      <c r="D144" s="257">
        <v>40</v>
      </c>
      <c r="E144" s="289">
        <f t="shared" si="1"/>
        <v>10</v>
      </c>
      <c r="G144" s="7"/>
    </row>
    <row r="145" spans="1:7" ht="13.15" customHeight="1" x14ac:dyDescent="0.2">
      <c r="A145" s="259" t="s">
        <v>31</v>
      </c>
      <c r="B145" s="278" t="s">
        <v>10</v>
      </c>
      <c r="C145" s="258">
        <v>6</v>
      </c>
      <c r="D145" s="257">
        <v>20</v>
      </c>
      <c r="E145" s="289">
        <f t="shared" si="1"/>
        <v>3.3333333333333335</v>
      </c>
      <c r="G145" s="7"/>
    </row>
    <row r="146" spans="1:7" ht="13.9" customHeight="1" x14ac:dyDescent="0.2">
      <c r="A146" s="259" t="s">
        <v>375</v>
      </c>
      <c r="B146" s="278" t="s">
        <v>48</v>
      </c>
      <c r="C146" s="258">
        <v>6</v>
      </c>
      <c r="D146" s="257">
        <v>54</v>
      </c>
      <c r="E146" s="289">
        <f t="shared" si="1"/>
        <v>9</v>
      </c>
      <c r="G146" s="7"/>
    </row>
    <row r="147" spans="1:7" ht="13.15" customHeight="1" x14ac:dyDescent="0.2">
      <c r="A147" s="259" t="s">
        <v>89</v>
      </c>
      <c r="B147" s="278" t="s">
        <v>48</v>
      </c>
      <c r="C147" s="258">
        <v>2</v>
      </c>
      <c r="D147" s="257">
        <v>10</v>
      </c>
      <c r="E147" s="289">
        <f t="shared" si="1"/>
        <v>5</v>
      </c>
    </row>
    <row r="148" spans="1:7" x14ac:dyDescent="0.2">
      <c r="A148" s="259" t="s">
        <v>67</v>
      </c>
      <c r="B148" s="278" t="s">
        <v>10</v>
      </c>
      <c r="C148" s="258">
        <v>6</v>
      </c>
      <c r="D148" s="257">
        <v>80</v>
      </c>
      <c r="E148" s="289">
        <f t="shared" si="1"/>
        <v>13.333333333333334</v>
      </c>
    </row>
    <row r="149" spans="1:7" s="1" customFormat="1" x14ac:dyDescent="0.2">
      <c r="A149" s="276" t="s">
        <v>11</v>
      </c>
      <c r="B149" s="361" t="s">
        <v>10</v>
      </c>
      <c r="C149" s="258">
        <v>6</v>
      </c>
      <c r="D149" s="257">
        <v>25</v>
      </c>
      <c r="E149" s="289">
        <f t="shared" si="1"/>
        <v>4.166666666666667</v>
      </c>
      <c r="F149" s="35"/>
      <c r="G149" s="35"/>
    </row>
    <row r="150" spans="1:7" x14ac:dyDescent="0.2">
      <c r="A150" s="259" t="s">
        <v>32</v>
      </c>
      <c r="B150" s="278" t="s">
        <v>48</v>
      </c>
      <c r="C150" s="362">
        <v>0.5</v>
      </c>
      <c r="D150" s="257">
        <v>10</v>
      </c>
      <c r="E150" s="289">
        <f t="shared" si="1"/>
        <v>20</v>
      </c>
    </row>
    <row r="151" spans="1:7" ht="13.15" customHeight="1" x14ac:dyDescent="0.2">
      <c r="A151" s="259" t="s">
        <v>61</v>
      </c>
      <c r="B151" s="278" t="s">
        <v>49</v>
      </c>
      <c r="C151" s="258">
        <v>1</v>
      </c>
      <c r="D151" s="257">
        <v>25</v>
      </c>
      <c r="E151" s="289">
        <f t="shared" si="1"/>
        <v>25</v>
      </c>
    </row>
    <row r="152" spans="1:7" ht="13.5" thickBot="1" x14ac:dyDescent="0.25">
      <c r="A152" s="14" t="s">
        <v>5</v>
      </c>
      <c r="B152" s="15" t="s">
        <v>6</v>
      </c>
      <c r="C152" s="64">
        <f>C71</f>
        <v>6</v>
      </c>
      <c r="D152" s="16">
        <f>+SUM(E140:E151)</f>
        <v>134.5</v>
      </c>
      <c r="E152" s="16">
        <f t="shared" ref="E152" si="2">C152*D152</f>
        <v>807</v>
      </c>
    </row>
    <row r="153" spans="1:7" ht="13.5" thickBot="1" x14ac:dyDescent="0.25">
      <c r="D153" s="109" t="s">
        <v>164</v>
      </c>
      <c r="E153" s="255">
        <f>$B$52</f>
        <v>0.34090909090909088</v>
      </c>
      <c r="F153" s="110">
        <f>E152*E153</f>
        <v>275.11363636363632</v>
      </c>
    </row>
    <row r="154" spans="1:7" ht="11.25" customHeight="1" x14ac:dyDescent="0.2"/>
    <row r="155" spans="1:7" ht="13.9" customHeight="1" thickBot="1" x14ac:dyDescent="0.25">
      <c r="A155" s="7" t="s">
        <v>167</v>
      </c>
    </row>
    <row r="156" spans="1:7" ht="24.75" thickBot="1" x14ac:dyDescent="0.25">
      <c r="A156" s="55" t="s">
        <v>62</v>
      </c>
      <c r="B156" s="56" t="s">
        <v>63</v>
      </c>
      <c r="C156" s="222" t="s">
        <v>204</v>
      </c>
      <c r="D156" s="57" t="s">
        <v>194</v>
      </c>
      <c r="E156" s="57" t="s">
        <v>64</v>
      </c>
      <c r="F156" s="58" t="s">
        <v>65</v>
      </c>
    </row>
    <row r="157" spans="1:7" x14ac:dyDescent="0.2">
      <c r="A157" s="11" t="s">
        <v>66</v>
      </c>
      <c r="B157" s="12" t="s">
        <v>10</v>
      </c>
      <c r="C157" s="260">
        <f>C140</f>
        <v>12</v>
      </c>
      <c r="D157" s="13">
        <f>+D140</f>
        <v>155</v>
      </c>
      <c r="E157" s="13">
        <f>IFERROR(D157/C157,0)</f>
        <v>12.916666666666666</v>
      </c>
    </row>
    <row r="158" spans="1:7" x14ac:dyDescent="0.2">
      <c r="A158" s="14" t="s">
        <v>29</v>
      </c>
      <c r="B158" s="15" t="s">
        <v>10</v>
      </c>
      <c r="C158" s="260">
        <f>C141</f>
        <v>6</v>
      </c>
      <c r="D158" s="16">
        <f>+D141</f>
        <v>70</v>
      </c>
      <c r="E158" s="13">
        <f t="shared" ref="E158:E162" si="3">IFERROR(D158/C158,0)</f>
        <v>11.666666666666666</v>
      </c>
    </row>
    <row r="159" spans="1:7" x14ac:dyDescent="0.2">
      <c r="A159" s="14" t="s">
        <v>30</v>
      </c>
      <c r="B159" s="15" t="s">
        <v>10</v>
      </c>
      <c r="C159" s="260">
        <f>C143</f>
        <v>4</v>
      </c>
      <c r="D159" s="16">
        <f>+D143</f>
        <v>43</v>
      </c>
      <c r="E159" s="13">
        <f t="shared" si="3"/>
        <v>10.75</v>
      </c>
    </row>
    <row r="160" spans="1:7" x14ac:dyDescent="0.2">
      <c r="A160" s="14" t="str">
        <f>A146</f>
        <v xml:space="preserve">Botina de segurança c/ palmilha aço, ou tênis </v>
      </c>
      <c r="B160" s="15" t="s">
        <v>48</v>
      </c>
      <c r="C160" s="260">
        <f>C146</f>
        <v>6</v>
      </c>
      <c r="D160" s="16">
        <f>+D146</f>
        <v>54</v>
      </c>
      <c r="E160" s="13">
        <f t="shared" si="3"/>
        <v>9</v>
      </c>
    </row>
    <row r="161" spans="1:10" x14ac:dyDescent="0.2">
      <c r="A161" s="14" t="s">
        <v>67</v>
      </c>
      <c r="B161" s="15" t="s">
        <v>10</v>
      </c>
      <c r="C161" s="260">
        <f>C148</f>
        <v>6</v>
      </c>
      <c r="D161" s="16">
        <f>+D148</f>
        <v>80</v>
      </c>
      <c r="E161" s="13">
        <f t="shared" si="3"/>
        <v>13.333333333333334</v>
      </c>
      <c r="G161" s="7"/>
    </row>
    <row r="162" spans="1:10" x14ac:dyDescent="0.2">
      <c r="A162" s="14" t="s">
        <v>61</v>
      </c>
      <c r="B162" s="15" t="s">
        <v>49</v>
      </c>
      <c r="C162" s="260">
        <f>C151</f>
        <v>1</v>
      </c>
      <c r="D162" s="16">
        <f>+D151</f>
        <v>25</v>
      </c>
      <c r="E162" s="13">
        <f t="shared" si="3"/>
        <v>25</v>
      </c>
      <c r="G162" s="7"/>
    </row>
    <row r="163" spans="1:10" ht="13.5" thickBot="1" x14ac:dyDescent="0.25">
      <c r="A163" s="14" t="s">
        <v>5</v>
      </c>
      <c r="B163" s="15" t="s">
        <v>6</v>
      </c>
      <c r="C163" s="64">
        <f>E45</f>
        <v>2</v>
      </c>
      <c r="D163" s="16">
        <f>+SUM(E157:E162)</f>
        <v>82.666666666666657</v>
      </c>
      <c r="E163" s="16">
        <f t="shared" ref="E163" si="4">C163*D163</f>
        <v>165.33333333333331</v>
      </c>
      <c r="G163" s="7"/>
    </row>
    <row r="164" spans="1:10" ht="13.5" thickBot="1" x14ac:dyDescent="0.25">
      <c r="D164" s="109" t="s">
        <v>164</v>
      </c>
      <c r="E164" s="255">
        <f>E108</f>
        <v>0.42272727272727273</v>
      </c>
      <c r="F164" s="110">
        <f>E163*E164</f>
        <v>69.890909090909076</v>
      </c>
      <c r="G164" s="7"/>
    </row>
    <row r="165" spans="1:10" ht="11.25" customHeight="1" thickBot="1" x14ac:dyDescent="0.25">
      <c r="G165" s="7"/>
    </row>
    <row r="166" spans="1:10" ht="13.5" thickBot="1" x14ac:dyDescent="0.25">
      <c r="A166" s="22" t="s">
        <v>168</v>
      </c>
      <c r="B166" s="26"/>
      <c r="C166" s="26"/>
      <c r="D166" s="27"/>
      <c r="E166" s="28"/>
      <c r="F166" s="19">
        <f>+F153+F164</f>
        <v>345.00454545454539</v>
      </c>
      <c r="G166" s="7"/>
    </row>
    <row r="167" spans="1:10" ht="11.25" customHeight="1" x14ac:dyDescent="0.2">
      <c r="G167" s="7"/>
    </row>
    <row r="168" spans="1:10" x14ac:dyDescent="0.2">
      <c r="A168" s="9" t="s">
        <v>54</v>
      </c>
      <c r="G168" s="7"/>
    </row>
    <row r="169" spans="1:10" x14ac:dyDescent="0.2">
      <c r="A169" s="5" t="s">
        <v>425</v>
      </c>
      <c r="G169" s="7"/>
    </row>
    <row r="170" spans="1:10" ht="13.5" thickBot="1" x14ac:dyDescent="0.25">
      <c r="A170" s="94" t="s">
        <v>46</v>
      </c>
      <c r="G170" s="7"/>
    </row>
    <row r="171" spans="1:10" ht="13.5" thickBot="1" x14ac:dyDescent="0.25">
      <c r="A171" s="55" t="s">
        <v>62</v>
      </c>
      <c r="B171" s="56" t="s">
        <v>63</v>
      </c>
      <c r="C171" s="56" t="s">
        <v>40</v>
      </c>
      <c r="D171" s="57" t="s">
        <v>194</v>
      </c>
      <c r="E171" s="57" t="s">
        <v>64</v>
      </c>
      <c r="F171" s="58" t="s">
        <v>65</v>
      </c>
      <c r="G171" s="7"/>
    </row>
    <row r="172" spans="1:10" x14ac:dyDescent="0.2">
      <c r="A172" s="11" t="s">
        <v>98</v>
      </c>
      <c r="B172" s="12" t="s">
        <v>10</v>
      </c>
      <c r="C172" s="12">
        <v>1</v>
      </c>
      <c r="D172" s="76">
        <v>450000</v>
      </c>
      <c r="E172" s="13">
        <f>C172*D172</f>
        <v>450000</v>
      </c>
      <c r="G172" s="7"/>
    </row>
    <row r="173" spans="1:10" x14ac:dyDescent="0.2">
      <c r="A173" s="14" t="s">
        <v>95</v>
      </c>
      <c r="B173" s="15" t="s">
        <v>96</v>
      </c>
      <c r="C173" s="75">
        <v>10</v>
      </c>
      <c r="D173" s="72"/>
      <c r="E173" s="16"/>
      <c r="G173" s="7"/>
    </row>
    <row r="174" spans="1:10" x14ac:dyDescent="0.2">
      <c r="A174" s="14" t="s">
        <v>174</v>
      </c>
      <c r="B174" s="15" t="s">
        <v>96</v>
      </c>
      <c r="C174" s="75">
        <v>0</v>
      </c>
      <c r="D174" s="16"/>
      <c r="E174" s="16"/>
      <c r="F174" s="18"/>
      <c r="I174" s="74"/>
      <c r="J174" s="74"/>
    </row>
    <row r="175" spans="1:10" x14ac:dyDescent="0.2">
      <c r="A175" s="14" t="s">
        <v>97</v>
      </c>
      <c r="B175" s="15" t="s">
        <v>2</v>
      </c>
      <c r="C175" s="125">
        <f>IFERROR(VLOOKUP(C173,'8. Depr'!A3:B17,2,FALSE),0)</f>
        <v>65.180000000000007</v>
      </c>
      <c r="D175" s="16">
        <f>E172</f>
        <v>450000</v>
      </c>
      <c r="E175" s="16">
        <f>C175*D175/100</f>
        <v>293310.00000000006</v>
      </c>
    </row>
    <row r="176" spans="1:10" ht="13.5" thickBot="1" x14ac:dyDescent="0.25">
      <c r="A176" s="229" t="s">
        <v>50</v>
      </c>
      <c r="B176" s="230" t="s">
        <v>8</v>
      </c>
      <c r="C176" s="230">
        <f>C173*12</f>
        <v>120</v>
      </c>
      <c r="D176" s="231">
        <f>IF(C174&lt;=C173,E175,0)</f>
        <v>293310.00000000006</v>
      </c>
      <c r="E176" s="231">
        <f>IFERROR(D176/C176,0)</f>
        <v>2444.2500000000005</v>
      </c>
    </row>
    <row r="177" spans="1:10" ht="13.5" thickTop="1" x14ac:dyDescent="0.2">
      <c r="A177" s="251" t="s">
        <v>384</v>
      </c>
      <c r="B177" s="12" t="s">
        <v>10</v>
      </c>
      <c r="C177" s="12">
        <f>C172</f>
        <v>1</v>
      </c>
      <c r="D177" s="76">
        <v>150000</v>
      </c>
      <c r="E177" s="13">
        <f>C177*D177</f>
        <v>150000</v>
      </c>
      <c r="G177" s="7"/>
    </row>
    <row r="178" spans="1:10" x14ac:dyDescent="0.2">
      <c r="A178" s="259" t="s">
        <v>95</v>
      </c>
      <c r="B178" s="15" t="s">
        <v>96</v>
      </c>
      <c r="C178" s="75">
        <v>10</v>
      </c>
      <c r="D178" s="16"/>
      <c r="E178" s="16"/>
    </row>
    <row r="179" spans="1:10" x14ac:dyDescent="0.2">
      <c r="A179" s="259" t="s">
        <v>298</v>
      </c>
      <c r="B179" s="15" t="s">
        <v>96</v>
      </c>
      <c r="C179" s="75">
        <v>0</v>
      </c>
      <c r="D179" s="16"/>
      <c r="E179" s="16"/>
      <c r="F179" s="18"/>
      <c r="I179" s="74"/>
      <c r="J179" s="74"/>
    </row>
    <row r="180" spans="1:10" x14ac:dyDescent="0.2">
      <c r="A180" s="259" t="s">
        <v>97</v>
      </c>
      <c r="B180" s="15" t="s">
        <v>2</v>
      </c>
      <c r="C180" s="126">
        <f>IFERROR(VLOOKUP(C178,'8. Depr'!A3:B17,2,FALSE),0)</f>
        <v>65.180000000000007</v>
      </c>
      <c r="D180" s="16">
        <f>E177</f>
        <v>150000</v>
      </c>
      <c r="E180" s="16">
        <f>C180*D180/100</f>
        <v>97770.000000000015</v>
      </c>
    </row>
    <row r="181" spans="1:10" x14ac:dyDescent="0.2">
      <c r="A181" s="90" t="s">
        <v>299</v>
      </c>
      <c r="B181" s="91" t="s">
        <v>8</v>
      </c>
      <c r="C181" s="91">
        <f>C178*12</f>
        <v>120</v>
      </c>
      <c r="D181" s="92">
        <f>IF(C179&lt;=C178,E180,0)</f>
        <v>97770.000000000015</v>
      </c>
      <c r="E181" s="92">
        <f>IFERROR(D181/C181,0)</f>
        <v>814.75000000000011</v>
      </c>
    </row>
    <row r="182" spans="1:10" x14ac:dyDescent="0.2">
      <c r="A182" s="90" t="s">
        <v>323</v>
      </c>
      <c r="B182" s="91" t="s">
        <v>8</v>
      </c>
      <c r="C182" s="91">
        <v>1</v>
      </c>
      <c r="D182" s="92">
        <f>IF(C180&lt;=C179,E181,0)</f>
        <v>0</v>
      </c>
      <c r="E182" s="92">
        <f>(E176+E181)*0.1</f>
        <v>325.90000000000009</v>
      </c>
    </row>
    <row r="183" spans="1:10" x14ac:dyDescent="0.2">
      <c r="A183" s="103" t="s">
        <v>207</v>
      </c>
      <c r="B183" s="104"/>
      <c r="C183" s="104"/>
      <c r="D183" s="105"/>
      <c r="E183" s="106">
        <f>E176+E181+E182</f>
        <v>3584.9000000000005</v>
      </c>
    </row>
    <row r="184" spans="1:10" ht="13.5" thickBot="1" x14ac:dyDescent="0.25">
      <c r="A184" s="90" t="s">
        <v>208</v>
      </c>
      <c r="B184" s="91" t="s">
        <v>10</v>
      </c>
      <c r="C184" s="79">
        <f>E49</f>
        <v>2</v>
      </c>
      <c r="D184" s="92">
        <f>E183</f>
        <v>3584.9000000000005</v>
      </c>
      <c r="E184" s="106">
        <f>C184*D184</f>
        <v>7169.8000000000011</v>
      </c>
    </row>
    <row r="185" spans="1:10" ht="13.5" thickBot="1" x14ac:dyDescent="0.25">
      <c r="A185" s="227"/>
      <c r="B185" s="227"/>
      <c r="C185" s="227"/>
      <c r="D185" s="109" t="s">
        <v>164</v>
      </c>
      <c r="E185" s="255">
        <v>0.3</v>
      </c>
      <c r="F185" s="19">
        <f>E184*E185</f>
        <v>2150.94</v>
      </c>
      <c r="I185" s="310"/>
    </row>
    <row r="186" spans="1:10" ht="11.25" customHeight="1" x14ac:dyDescent="0.2"/>
    <row r="187" spans="1:10" ht="13.5" thickBot="1" x14ac:dyDescent="0.25">
      <c r="A187" s="94" t="s">
        <v>102</v>
      </c>
    </row>
    <row r="188" spans="1:10" ht="13.5" thickBot="1" x14ac:dyDescent="0.25">
      <c r="A188" s="96" t="s">
        <v>62</v>
      </c>
      <c r="B188" s="97" t="s">
        <v>63</v>
      </c>
      <c r="C188" s="97" t="s">
        <v>40</v>
      </c>
      <c r="D188" s="57" t="s">
        <v>194</v>
      </c>
      <c r="E188" s="98" t="s">
        <v>64</v>
      </c>
      <c r="F188" s="58" t="s">
        <v>65</v>
      </c>
      <c r="I188" s="74"/>
      <c r="J188" s="74"/>
    </row>
    <row r="189" spans="1:10" x14ac:dyDescent="0.2">
      <c r="A189" s="14" t="s">
        <v>101</v>
      </c>
      <c r="B189" s="15" t="s">
        <v>10</v>
      </c>
      <c r="C189" s="15">
        <v>1</v>
      </c>
      <c r="D189" s="16">
        <f>D172</f>
        <v>450000</v>
      </c>
      <c r="E189" s="16">
        <f>C189*D189</f>
        <v>450000</v>
      </c>
      <c r="F189" s="18"/>
      <c r="I189" s="74"/>
      <c r="J189" s="74"/>
    </row>
    <row r="190" spans="1:10" x14ac:dyDescent="0.2">
      <c r="A190" s="14" t="s">
        <v>177</v>
      </c>
      <c r="B190" s="15" t="s">
        <v>2</v>
      </c>
      <c r="C190" s="77">
        <v>10.5</v>
      </c>
      <c r="D190" s="16"/>
      <c r="E190" s="16"/>
      <c r="F190" s="18"/>
      <c r="I190" s="74"/>
      <c r="J190" s="74"/>
    </row>
    <row r="191" spans="1:10" x14ac:dyDescent="0.2">
      <c r="A191" s="14" t="s">
        <v>175</v>
      </c>
      <c r="B191" s="15" t="s">
        <v>33</v>
      </c>
      <c r="C191" s="131">
        <f>IFERROR(IF(C174&lt;=C173,E172-(C175/(100*C173)*C174)*E172,E172-E175),0)</f>
        <v>450000</v>
      </c>
      <c r="D191" s="16"/>
      <c r="E191" s="16"/>
      <c r="F191" s="18"/>
      <c r="I191" s="74"/>
      <c r="J191" s="74"/>
    </row>
    <row r="192" spans="1:10" x14ac:dyDescent="0.2">
      <c r="A192" s="14" t="s">
        <v>104</v>
      </c>
      <c r="B192" s="15" t="s">
        <v>33</v>
      </c>
      <c r="C192" s="72">
        <f>IFERROR(IF(C174&gt;=C173,C191,((((C191)-(E172-E175))*(((C173-C174)+1)/(2*(C173-C174))))+(E172-E175))),0)</f>
        <v>318010.5</v>
      </c>
      <c r="D192" s="16"/>
      <c r="E192" s="16"/>
      <c r="F192" s="18"/>
      <c r="I192" s="74"/>
      <c r="J192" s="74"/>
    </row>
    <row r="193" spans="1:10" ht="13.5" thickBot="1" x14ac:dyDescent="0.25">
      <c r="A193" s="229" t="s">
        <v>105</v>
      </c>
      <c r="B193" s="230" t="s">
        <v>33</v>
      </c>
      <c r="C193" s="230"/>
      <c r="D193" s="232">
        <f>C190*C192/12/100</f>
        <v>2782.5918750000001</v>
      </c>
      <c r="E193" s="231">
        <f>D193</f>
        <v>2782.5918750000001</v>
      </c>
      <c r="F193" s="18"/>
      <c r="I193" s="74"/>
      <c r="J193" s="74"/>
    </row>
    <row r="194" spans="1:10" ht="13.5" thickTop="1" x14ac:dyDescent="0.2">
      <c r="A194" s="251" t="s">
        <v>297</v>
      </c>
      <c r="B194" s="12" t="s">
        <v>10</v>
      </c>
      <c r="C194" s="12">
        <f>C177</f>
        <v>1</v>
      </c>
      <c r="D194" s="13">
        <f>D177</f>
        <v>150000</v>
      </c>
      <c r="E194" s="13">
        <f>C194*D194</f>
        <v>150000</v>
      </c>
      <c r="F194" s="18"/>
      <c r="I194" s="74"/>
      <c r="J194" s="74"/>
    </row>
    <row r="195" spans="1:10" x14ac:dyDescent="0.2">
      <c r="A195" s="259" t="s">
        <v>177</v>
      </c>
      <c r="B195" s="15" t="s">
        <v>2</v>
      </c>
      <c r="C195" s="311">
        <f>C190</f>
        <v>10.5</v>
      </c>
      <c r="D195" s="16"/>
      <c r="E195" s="16"/>
      <c r="F195" s="18"/>
      <c r="I195" s="74"/>
      <c r="J195" s="74"/>
    </row>
    <row r="196" spans="1:10" x14ac:dyDescent="0.2">
      <c r="A196" s="14" t="s">
        <v>176</v>
      </c>
      <c r="B196" s="15" t="s">
        <v>33</v>
      </c>
      <c r="C196" s="131">
        <f>IFERROR(IF(C179&lt;=C178,E177-(C180/(100*C178)*C179)*E177,E177-E180),0)</f>
        <v>150000</v>
      </c>
      <c r="D196" s="16"/>
      <c r="E196" s="16"/>
      <c r="F196" s="18"/>
      <c r="I196" s="74"/>
      <c r="J196" s="74"/>
    </row>
    <row r="197" spans="1:10" x14ac:dyDescent="0.2">
      <c r="A197" s="259" t="s">
        <v>320</v>
      </c>
      <c r="B197" s="15" t="s">
        <v>33</v>
      </c>
      <c r="C197" s="72">
        <f>IFERROR(IF(C179&gt;=C178,C196,((((C196)-(E177-E180))*(((C178-C179)+1)/(2*(C178-C179))))+(E177-E180))),0)</f>
        <v>106003.5</v>
      </c>
      <c r="D197" s="16"/>
      <c r="E197" s="16"/>
      <c r="F197" s="18"/>
      <c r="I197" s="74"/>
      <c r="J197" s="74"/>
    </row>
    <row r="198" spans="1:10" x14ac:dyDescent="0.2">
      <c r="A198" s="90" t="s">
        <v>321</v>
      </c>
      <c r="B198" s="91" t="s">
        <v>33</v>
      </c>
      <c r="C198" s="91"/>
      <c r="D198" s="100">
        <f>C195*C197/12/100</f>
        <v>927.53062499999999</v>
      </c>
      <c r="E198" s="92">
        <f>D198</f>
        <v>927.53062499999999</v>
      </c>
      <c r="F198" s="18"/>
      <c r="I198" s="74"/>
      <c r="J198" s="74"/>
    </row>
    <row r="199" spans="1:10" x14ac:dyDescent="0.2">
      <c r="A199" s="90" t="s">
        <v>323</v>
      </c>
      <c r="B199" s="91" t="s">
        <v>8</v>
      </c>
      <c r="C199" s="91">
        <v>1</v>
      </c>
      <c r="D199" s="92"/>
      <c r="E199" s="92">
        <f>(E193+E198)*0.1</f>
        <v>371.01224999999999</v>
      </c>
      <c r="F199" s="18"/>
      <c r="I199" s="74"/>
      <c r="J199" s="74"/>
    </row>
    <row r="200" spans="1:10" x14ac:dyDescent="0.2">
      <c r="A200" s="103" t="s">
        <v>207</v>
      </c>
      <c r="B200" s="104"/>
      <c r="C200" s="104"/>
      <c r="D200" s="105"/>
      <c r="E200" s="106">
        <f>E193+E198+E199</f>
        <v>4081.1347500000002</v>
      </c>
      <c r="F200" s="18"/>
      <c r="G200" s="277"/>
      <c r="I200" s="74"/>
      <c r="J200" s="74"/>
    </row>
    <row r="201" spans="1:10" ht="13.5" thickBot="1" x14ac:dyDescent="0.25">
      <c r="A201" s="90" t="s">
        <v>208</v>
      </c>
      <c r="B201" s="91" t="s">
        <v>10</v>
      </c>
      <c r="C201" s="15">
        <f>C184</f>
        <v>2</v>
      </c>
      <c r="D201" s="92">
        <f>E200</f>
        <v>4081.1347500000002</v>
      </c>
      <c r="E201" s="106">
        <f>C201*D201</f>
        <v>8162.2695000000003</v>
      </c>
      <c r="F201" s="18"/>
      <c r="I201" s="74"/>
      <c r="J201" s="74"/>
    </row>
    <row r="202" spans="1:10" ht="13.5" thickBot="1" x14ac:dyDescent="0.25">
      <c r="C202" s="17"/>
      <c r="D202" s="109" t="s">
        <v>164</v>
      </c>
      <c r="E202" s="255">
        <f>E185</f>
        <v>0.3</v>
      </c>
      <c r="F202" s="19">
        <f>E201*E202</f>
        <v>2448.6808500000002</v>
      </c>
      <c r="I202" s="74"/>
      <c r="J202" s="74"/>
    </row>
    <row r="203" spans="1:10" ht="11.25" customHeight="1" x14ac:dyDescent="0.2">
      <c r="I203" s="74"/>
      <c r="J203" s="74"/>
    </row>
    <row r="204" spans="1:10" ht="13.5" thickBot="1" x14ac:dyDescent="0.25">
      <c r="A204" s="7" t="s">
        <v>51</v>
      </c>
      <c r="I204" s="74"/>
      <c r="J204" s="74"/>
    </row>
    <row r="205" spans="1:10" ht="13.5" thickBot="1" x14ac:dyDescent="0.25">
      <c r="A205" s="55" t="s">
        <v>62</v>
      </c>
      <c r="B205" s="56" t="s">
        <v>63</v>
      </c>
      <c r="C205" s="56" t="s">
        <v>40</v>
      </c>
      <c r="D205" s="57" t="s">
        <v>194</v>
      </c>
      <c r="E205" s="57" t="s">
        <v>64</v>
      </c>
      <c r="F205" s="58" t="s">
        <v>65</v>
      </c>
      <c r="I205" s="74"/>
      <c r="J205" s="74"/>
    </row>
    <row r="206" spans="1:10" x14ac:dyDescent="0.2">
      <c r="A206" s="11" t="s">
        <v>12</v>
      </c>
      <c r="B206" s="12" t="s">
        <v>10</v>
      </c>
      <c r="C206" s="13">
        <f>C184</f>
        <v>2</v>
      </c>
      <c r="D206" s="13">
        <f>0.01*($C$191)</f>
        <v>4500</v>
      </c>
      <c r="E206" s="13">
        <f>C206*D206</f>
        <v>9000</v>
      </c>
      <c r="I206" s="74"/>
      <c r="J206" s="74"/>
    </row>
    <row r="207" spans="1:10" x14ac:dyDescent="0.2">
      <c r="A207" s="14" t="s">
        <v>163</v>
      </c>
      <c r="B207" s="15" t="s">
        <v>10</v>
      </c>
      <c r="C207" s="13">
        <f>C184</f>
        <v>2</v>
      </c>
      <c r="D207" s="78">
        <v>97.4</v>
      </c>
      <c r="E207" s="16">
        <f>C207*D207</f>
        <v>194.8</v>
      </c>
      <c r="I207" s="74"/>
      <c r="J207" s="74"/>
    </row>
    <row r="208" spans="1:10" x14ac:dyDescent="0.2">
      <c r="A208" s="14" t="s">
        <v>13</v>
      </c>
      <c r="B208" s="15" t="s">
        <v>10</v>
      </c>
      <c r="C208" s="13">
        <f>C184</f>
        <v>2</v>
      </c>
      <c r="D208" s="78">
        <v>3500</v>
      </c>
      <c r="E208" s="16">
        <f>C208*D208</f>
        <v>7000</v>
      </c>
      <c r="F208" s="29"/>
      <c r="I208" s="74"/>
      <c r="J208" s="74"/>
    </row>
    <row r="209" spans="1:10" ht="13.5" thickBot="1" x14ac:dyDescent="0.25">
      <c r="A209" s="90" t="s">
        <v>14</v>
      </c>
      <c r="B209" s="91" t="s">
        <v>8</v>
      </c>
      <c r="C209" s="91">
        <v>12</v>
      </c>
      <c r="D209" s="92">
        <f>SUM(E206:E208)</f>
        <v>16194.8</v>
      </c>
      <c r="E209" s="92">
        <f>D209/C209</f>
        <v>1349.5666666666666</v>
      </c>
      <c r="I209" s="74"/>
      <c r="J209" s="74"/>
    </row>
    <row r="210" spans="1:10" ht="13.5" thickBot="1" x14ac:dyDescent="0.25">
      <c r="D210" s="109" t="s">
        <v>164</v>
      </c>
      <c r="E210" s="255">
        <f>E202</f>
        <v>0.3</v>
      </c>
      <c r="F210" s="110">
        <f>E209*E210</f>
        <v>404.86999999999995</v>
      </c>
      <c r="I210" s="74"/>
      <c r="J210" s="74"/>
    </row>
    <row r="211" spans="1:10" ht="11.25" customHeight="1" x14ac:dyDescent="0.2">
      <c r="I211" s="74"/>
      <c r="J211" s="74"/>
    </row>
    <row r="212" spans="1:10" x14ac:dyDescent="0.2">
      <c r="A212" s="7" t="s">
        <v>52</v>
      </c>
      <c r="B212" s="30"/>
      <c r="I212" s="74"/>
      <c r="J212" s="74"/>
    </row>
    <row r="213" spans="1:10" ht="13.5" thickBot="1" x14ac:dyDescent="0.25">
      <c r="A213" s="90" t="s">
        <v>107</v>
      </c>
      <c r="B213" s="263">
        <f>'6. Roteiros'!AA28+'6. Roteiros'!AI10</f>
        <v>2211.702214285714</v>
      </c>
      <c r="I213" s="74"/>
      <c r="J213" s="74"/>
    </row>
    <row r="214" spans="1:10" ht="13.5" thickBot="1" x14ac:dyDescent="0.25">
      <c r="A214" s="55" t="s">
        <v>62</v>
      </c>
      <c r="B214" s="56" t="s">
        <v>63</v>
      </c>
      <c r="C214" s="56" t="s">
        <v>206</v>
      </c>
      <c r="D214" s="57" t="s">
        <v>194</v>
      </c>
      <c r="E214" s="57" t="s">
        <v>64</v>
      </c>
      <c r="F214" s="58" t="s">
        <v>65</v>
      </c>
      <c r="I214" s="74"/>
      <c r="J214" s="74"/>
    </row>
    <row r="215" spans="1:10" x14ac:dyDescent="0.2">
      <c r="A215" s="11" t="s">
        <v>15</v>
      </c>
      <c r="B215" s="12" t="s">
        <v>16</v>
      </c>
      <c r="C215" s="85">
        <v>2.1</v>
      </c>
      <c r="D215" s="76">
        <v>6.08</v>
      </c>
      <c r="E215" s="13"/>
      <c r="I215" s="74"/>
      <c r="J215" s="74"/>
    </row>
    <row r="216" spans="1:10" x14ac:dyDescent="0.2">
      <c r="A216" s="14" t="s">
        <v>17</v>
      </c>
      <c r="B216" s="15" t="s">
        <v>18</v>
      </c>
      <c r="C216" s="83">
        <f>B213</f>
        <v>2211.702214285714</v>
      </c>
      <c r="D216" s="226">
        <f>IFERROR(+D215/C215,"-")</f>
        <v>2.8952380952380952</v>
      </c>
      <c r="E216" s="16">
        <f>IFERROR(C216*D216,"-")</f>
        <v>6403.4045061224479</v>
      </c>
      <c r="I216" s="74"/>
      <c r="J216" s="74"/>
    </row>
    <row r="217" spans="1:10" x14ac:dyDescent="0.2">
      <c r="A217" s="14" t="s">
        <v>195</v>
      </c>
      <c r="B217" s="15" t="s">
        <v>19</v>
      </c>
      <c r="C217" s="87">
        <v>1.33</v>
      </c>
      <c r="D217" s="78">
        <v>28</v>
      </c>
      <c r="E217" s="16"/>
      <c r="G217" s="99"/>
      <c r="I217" s="74"/>
      <c r="J217" s="74"/>
    </row>
    <row r="218" spans="1:10" x14ac:dyDescent="0.2">
      <c r="A218" s="14" t="s">
        <v>20</v>
      </c>
      <c r="B218" s="15" t="s">
        <v>18</v>
      </c>
      <c r="C218" s="83">
        <f>C216</f>
        <v>2211.702214285714</v>
      </c>
      <c r="D218" s="223">
        <f>+C217*D217/1000</f>
        <v>3.7240000000000002E-2</v>
      </c>
      <c r="E218" s="16">
        <f>C218*D218</f>
        <v>82.36379045999999</v>
      </c>
      <c r="G218" s="99"/>
      <c r="I218" s="74"/>
      <c r="J218" s="74"/>
    </row>
    <row r="219" spans="1:10" x14ac:dyDescent="0.2">
      <c r="A219" s="14" t="s">
        <v>196</v>
      </c>
      <c r="B219" s="15" t="s">
        <v>19</v>
      </c>
      <c r="C219" s="87">
        <v>0.2</v>
      </c>
      <c r="D219" s="78">
        <v>30</v>
      </c>
      <c r="E219" s="16"/>
      <c r="G219" s="99"/>
      <c r="I219" s="74"/>
      <c r="J219" s="74"/>
    </row>
    <row r="220" spans="1:10" x14ac:dyDescent="0.2">
      <c r="A220" s="14" t="s">
        <v>21</v>
      </c>
      <c r="B220" s="15" t="s">
        <v>18</v>
      </c>
      <c r="C220" s="83">
        <f>C216</f>
        <v>2211.702214285714</v>
      </c>
      <c r="D220" s="223">
        <f>+C219*D219/1000</f>
        <v>6.0000000000000001E-3</v>
      </c>
      <c r="E220" s="16">
        <f>C220*D220</f>
        <v>13.270213285714284</v>
      </c>
      <c r="G220" s="99"/>
      <c r="I220" s="74"/>
      <c r="J220" s="74"/>
    </row>
    <row r="221" spans="1:10" x14ac:dyDescent="0.2">
      <c r="A221" s="14" t="s">
        <v>197</v>
      </c>
      <c r="B221" s="15" t="s">
        <v>19</v>
      </c>
      <c r="C221" s="87">
        <v>2</v>
      </c>
      <c r="D221" s="78">
        <v>24</v>
      </c>
      <c r="E221" s="16"/>
      <c r="G221" s="99"/>
      <c r="I221" s="74"/>
      <c r="J221" s="74"/>
    </row>
    <row r="222" spans="1:10" x14ac:dyDescent="0.2">
      <c r="A222" s="14" t="s">
        <v>22</v>
      </c>
      <c r="B222" s="15" t="s">
        <v>18</v>
      </c>
      <c r="C222" s="83">
        <f>C216</f>
        <v>2211.702214285714</v>
      </c>
      <c r="D222" s="223">
        <f>+C221*D221/1000</f>
        <v>4.8000000000000001E-2</v>
      </c>
      <c r="E222" s="16">
        <f>C222*D222</f>
        <v>106.16170628571427</v>
      </c>
      <c r="G222" s="99"/>
      <c r="I222" s="74"/>
      <c r="J222" s="74"/>
    </row>
    <row r="223" spans="1:10" x14ac:dyDescent="0.2">
      <c r="A223" s="259" t="s">
        <v>319</v>
      </c>
      <c r="B223" s="278" t="s">
        <v>19</v>
      </c>
      <c r="C223" s="286">
        <v>20</v>
      </c>
      <c r="D223" s="268">
        <v>3.5</v>
      </c>
      <c r="E223" s="265"/>
      <c r="G223" s="99"/>
      <c r="I223" s="74"/>
      <c r="J223" s="74"/>
    </row>
    <row r="224" spans="1:10" x14ac:dyDescent="0.2">
      <c r="A224" s="259" t="s">
        <v>318</v>
      </c>
      <c r="B224" s="278" t="s">
        <v>18</v>
      </c>
      <c r="C224" s="267">
        <f>C218</f>
        <v>2211.702214285714</v>
      </c>
      <c r="D224" s="269">
        <f>+C223*D223/1000</f>
        <v>7.0000000000000007E-2</v>
      </c>
      <c r="E224" s="265">
        <f>C224*D224</f>
        <v>154.81915499999999</v>
      </c>
      <c r="G224" s="99"/>
      <c r="I224" s="74"/>
      <c r="J224" s="74"/>
    </row>
    <row r="225" spans="1:10" x14ac:dyDescent="0.2">
      <c r="A225" s="14" t="s">
        <v>23</v>
      </c>
      <c r="B225" s="15" t="s">
        <v>24</v>
      </c>
      <c r="C225" s="87">
        <v>1.5</v>
      </c>
      <c r="D225" s="78">
        <v>26</v>
      </c>
      <c r="E225" s="16"/>
      <c r="G225" s="99"/>
      <c r="I225" s="74"/>
      <c r="J225" s="74"/>
    </row>
    <row r="226" spans="1:10" x14ac:dyDescent="0.2">
      <c r="A226" s="14" t="s">
        <v>25</v>
      </c>
      <c r="B226" s="15" t="s">
        <v>18</v>
      </c>
      <c r="C226" s="83">
        <f>C216</f>
        <v>2211.702214285714</v>
      </c>
      <c r="D226" s="223">
        <f>+C225*D225/1000</f>
        <v>3.9E-2</v>
      </c>
      <c r="E226" s="16">
        <f>C226*D226</f>
        <v>86.256386357142844</v>
      </c>
      <c r="G226" s="99"/>
      <c r="I226" s="74"/>
      <c r="J226" s="74"/>
    </row>
    <row r="227" spans="1:10" ht="13.5" thickBot="1" x14ac:dyDescent="0.25">
      <c r="A227" s="90" t="s">
        <v>205</v>
      </c>
      <c r="B227" s="91" t="s">
        <v>108</v>
      </c>
      <c r="C227" s="224"/>
      <c r="D227" s="225">
        <f>IFERROR(D216+D218+D220+D222++D224+D226,0)</f>
        <v>3.0954780952380951</v>
      </c>
      <c r="E227" s="16"/>
      <c r="G227" s="99"/>
      <c r="I227" s="74"/>
      <c r="J227" s="74"/>
    </row>
    <row r="228" spans="1:10" ht="13.5" thickBot="1" x14ac:dyDescent="0.25">
      <c r="F228" s="19">
        <f>SUM(E215:E226)</f>
        <v>6846.275757511019</v>
      </c>
      <c r="I228" s="74"/>
      <c r="J228" s="74"/>
    </row>
    <row r="229" spans="1:10" ht="11.25" customHeight="1" x14ac:dyDescent="0.2">
      <c r="I229" s="74"/>
      <c r="J229" s="74"/>
    </row>
    <row r="230" spans="1:10" ht="13.5" thickBot="1" x14ac:dyDescent="0.25">
      <c r="A230" s="7" t="s">
        <v>53</v>
      </c>
      <c r="I230" s="74"/>
      <c r="J230" s="74"/>
    </row>
    <row r="231" spans="1:10" ht="13.5" thickBot="1" x14ac:dyDescent="0.25">
      <c r="A231" s="55" t="s">
        <v>62</v>
      </c>
      <c r="B231" s="56" t="s">
        <v>63</v>
      </c>
      <c r="C231" s="56" t="s">
        <v>40</v>
      </c>
      <c r="D231" s="57" t="s">
        <v>194</v>
      </c>
      <c r="E231" s="57" t="s">
        <v>64</v>
      </c>
      <c r="F231" s="58" t="s">
        <v>65</v>
      </c>
      <c r="I231" s="74"/>
      <c r="J231" s="74"/>
    </row>
    <row r="232" spans="1:10" ht="13.5" thickBot="1" x14ac:dyDescent="0.25">
      <c r="A232" s="11" t="s">
        <v>106</v>
      </c>
      <c r="B232" s="12" t="s">
        <v>108</v>
      </c>
      <c r="C232" s="16">
        <f>C216</f>
        <v>2211.702214285714</v>
      </c>
      <c r="D232" s="76">
        <v>1.08</v>
      </c>
      <c r="E232" s="13">
        <f>C232*D232</f>
        <v>2388.6383914285711</v>
      </c>
      <c r="I232" s="74"/>
      <c r="J232" s="74"/>
    </row>
    <row r="233" spans="1:10" ht="13.5" thickBot="1" x14ac:dyDescent="0.25">
      <c r="F233" s="19">
        <f>E232</f>
        <v>2388.6383914285711</v>
      </c>
      <c r="I233" s="74"/>
      <c r="J233" s="74"/>
    </row>
    <row r="234" spans="1:10" ht="11.25" customHeight="1" x14ac:dyDescent="0.2">
      <c r="I234" s="74"/>
      <c r="J234" s="74"/>
    </row>
    <row r="235" spans="1:10" ht="13.5" thickBot="1" x14ac:dyDescent="0.25">
      <c r="A235" s="7" t="s">
        <v>60</v>
      </c>
      <c r="I235" s="74"/>
      <c r="J235" s="74"/>
    </row>
    <row r="236" spans="1:10" ht="13.5" thickBot="1" x14ac:dyDescent="0.25">
      <c r="A236" s="55" t="s">
        <v>62</v>
      </c>
      <c r="B236" s="56" t="s">
        <v>63</v>
      </c>
      <c r="C236" s="56" t="s">
        <v>40</v>
      </c>
      <c r="D236" s="57" t="s">
        <v>194</v>
      </c>
      <c r="E236" s="57" t="s">
        <v>64</v>
      </c>
      <c r="F236" s="58" t="s">
        <v>65</v>
      </c>
      <c r="I236" s="74"/>
      <c r="J236" s="74"/>
    </row>
    <row r="237" spans="1:10" x14ac:dyDescent="0.2">
      <c r="A237" s="251" t="s">
        <v>317</v>
      </c>
      <c r="B237" s="12" t="s">
        <v>10</v>
      </c>
      <c r="C237" s="84">
        <v>6</v>
      </c>
      <c r="D237" s="76">
        <v>2700</v>
      </c>
      <c r="E237" s="13">
        <f>C237*D237</f>
        <v>16200</v>
      </c>
      <c r="I237" s="74"/>
      <c r="J237" s="74"/>
    </row>
    <row r="238" spans="1:10" x14ac:dyDescent="0.2">
      <c r="A238" s="11" t="s">
        <v>109</v>
      </c>
      <c r="B238" s="12" t="s">
        <v>10</v>
      </c>
      <c r="C238" s="84">
        <v>2</v>
      </c>
      <c r="D238" s="93"/>
      <c r="E238" s="13"/>
      <c r="I238" s="74"/>
      <c r="J238" s="74"/>
    </row>
    <row r="239" spans="1:10" x14ac:dyDescent="0.2">
      <c r="A239" s="11" t="s">
        <v>68</v>
      </c>
      <c r="B239" s="12" t="s">
        <v>10</v>
      </c>
      <c r="C239" s="13">
        <f>C237*C238</f>
        <v>12</v>
      </c>
      <c r="D239" s="76">
        <v>800</v>
      </c>
      <c r="E239" s="13">
        <f>C239*D239</f>
        <v>9600</v>
      </c>
      <c r="I239" s="74"/>
      <c r="J239" s="74"/>
    </row>
    <row r="240" spans="1:10" x14ac:dyDescent="0.2">
      <c r="A240" s="14" t="s">
        <v>90</v>
      </c>
      <c r="B240" s="15" t="s">
        <v>26</v>
      </c>
      <c r="C240" s="86">
        <v>80000</v>
      </c>
      <c r="D240" s="16">
        <f>E237+E239</f>
        <v>25800</v>
      </c>
      <c r="E240" s="16">
        <f>IFERROR(D240/C240,"-")</f>
        <v>0.32250000000000001</v>
      </c>
      <c r="I240" s="74"/>
      <c r="J240" s="74"/>
    </row>
    <row r="241" spans="1:10" ht="13.5" thickBot="1" x14ac:dyDescent="0.25">
      <c r="A241" s="14" t="s">
        <v>55</v>
      </c>
      <c r="B241" s="15" t="s">
        <v>18</v>
      </c>
      <c r="C241" s="83">
        <f>B213</f>
        <v>2211.702214285714</v>
      </c>
      <c r="D241" s="16">
        <f>E240</f>
        <v>0.32250000000000001</v>
      </c>
      <c r="E241" s="16">
        <f>IFERROR(C241*D241,0)</f>
        <v>713.27396410714277</v>
      </c>
      <c r="I241" s="74"/>
      <c r="J241" s="74"/>
    </row>
    <row r="242" spans="1:10" ht="13.5" thickBot="1" x14ac:dyDescent="0.25">
      <c r="F242" s="19">
        <f>E241</f>
        <v>713.27396410714277</v>
      </c>
      <c r="I242" s="74"/>
      <c r="J242" s="74"/>
    </row>
    <row r="243" spans="1:10" ht="11.25" customHeight="1" x14ac:dyDescent="0.2">
      <c r="I243" s="74"/>
      <c r="J243" s="74"/>
    </row>
    <row r="244" spans="1:10" ht="11.25" customHeight="1" thickBot="1" x14ac:dyDescent="0.25">
      <c r="G244" s="7"/>
    </row>
    <row r="245" spans="1:10" ht="13.5" thickBot="1" x14ac:dyDescent="0.25">
      <c r="A245" s="22" t="s">
        <v>187</v>
      </c>
      <c r="B245" s="23"/>
      <c r="C245" s="23"/>
      <c r="D245" s="24"/>
      <c r="E245" s="25"/>
      <c r="F245" s="19">
        <f>+SUM(F172:F244)</f>
        <v>14952.678963046732</v>
      </c>
      <c r="G245" s="7"/>
    </row>
    <row r="246" spans="1:10" ht="11.25" customHeight="1" x14ac:dyDescent="0.2">
      <c r="G246" s="7"/>
    </row>
    <row r="247" spans="1:10" ht="13.5" thickBot="1" x14ac:dyDescent="0.25">
      <c r="A247" s="9" t="s">
        <v>333</v>
      </c>
      <c r="B247" s="9"/>
      <c r="C247" s="9"/>
      <c r="D247" s="32"/>
      <c r="E247" s="32"/>
      <c r="F247" s="31"/>
      <c r="G247" s="7"/>
    </row>
    <row r="248" spans="1:10" ht="13.5" thickBot="1" x14ac:dyDescent="0.25">
      <c r="A248" s="55" t="s">
        <v>62</v>
      </c>
      <c r="B248" s="56" t="s">
        <v>63</v>
      </c>
      <c r="C248" s="56" t="s">
        <v>40</v>
      </c>
      <c r="D248" s="57" t="s">
        <v>194</v>
      </c>
      <c r="E248" s="57" t="s">
        <v>64</v>
      </c>
      <c r="F248" s="58" t="s">
        <v>65</v>
      </c>
      <c r="G248" s="7"/>
    </row>
    <row r="249" spans="1:10" x14ac:dyDescent="0.2">
      <c r="A249" s="14" t="s">
        <v>69</v>
      </c>
      <c r="B249" s="15" t="s">
        <v>10</v>
      </c>
      <c r="C249" s="88">
        <v>0.16666666666666666</v>
      </c>
      <c r="D249" s="76">
        <v>39</v>
      </c>
      <c r="E249" s="16">
        <f t="shared" ref="E249:E251" si="5">C249*D249</f>
        <v>6.5</v>
      </c>
      <c r="F249" s="50"/>
      <c r="G249" s="7"/>
    </row>
    <row r="250" spans="1:10" x14ac:dyDescent="0.2">
      <c r="A250" s="14" t="s">
        <v>27</v>
      </c>
      <c r="B250" s="15" t="s">
        <v>10</v>
      </c>
      <c r="C250" s="88">
        <v>0.16666666666666666</v>
      </c>
      <c r="D250" s="76">
        <v>26.92</v>
      </c>
      <c r="E250" s="16">
        <f t="shared" si="5"/>
        <v>4.4866666666666664</v>
      </c>
      <c r="F250" s="50"/>
      <c r="G250" s="7"/>
    </row>
    <row r="251" spans="1:10" ht="13.5" thickBot="1" x14ac:dyDescent="0.25">
      <c r="A251" s="14" t="s">
        <v>28</v>
      </c>
      <c r="B251" s="15" t="s">
        <v>10</v>
      </c>
      <c r="C251" s="88">
        <v>0.16666666666666666</v>
      </c>
      <c r="D251" s="76">
        <v>26.19</v>
      </c>
      <c r="E251" s="16">
        <f t="shared" si="5"/>
        <v>4.3650000000000002</v>
      </c>
      <c r="F251" s="50"/>
      <c r="G251" s="7"/>
    </row>
    <row r="252" spans="1:10" ht="13.5" thickBot="1" x14ac:dyDescent="0.25">
      <c r="A252" s="9"/>
      <c r="B252" s="9"/>
      <c r="C252" s="9"/>
      <c r="D252" s="9"/>
      <c r="E252" s="32"/>
      <c r="F252" s="19">
        <f>SUM(E249:E251)</f>
        <v>15.351666666666667</v>
      </c>
      <c r="G252" s="7"/>
    </row>
    <row r="253" spans="1:10" ht="11.25" customHeight="1" thickBot="1" x14ac:dyDescent="0.25">
      <c r="G253" s="7"/>
    </row>
    <row r="254" spans="1:10" ht="13.5" thickBot="1" x14ac:dyDescent="0.25">
      <c r="A254" s="22" t="s">
        <v>188</v>
      </c>
      <c r="B254" s="23"/>
      <c r="C254" s="23"/>
      <c r="D254" s="24"/>
      <c r="E254" s="25"/>
      <c r="F254" s="19">
        <f>+F252</f>
        <v>15.351666666666667</v>
      </c>
      <c r="G254" s="7"/>
    </row>
    <row r="255" spans="1:10" ht="11.25" customHeight="1" x14ac:dyDescent="0.2">
      <c r="G255" s="7"/>
    </row>
    <row r="256" spans="1:10" ht="13.15" customHeight="1" thickBot="1" x14ac:dyDescent="0.25">
      <c r="A256" s="9" t="s">
        <v>330</v>
      </c>
      <c r="B256" s="9"/>
      <c r="C256" s="9"/>
      <c r="D256" s="32"/>
      <c r="E256" s="32"/>
      <c r="F256" s="31"/>
      <c r="G256" s="7"/>
    </row>
    <row r="257" spans="1:7" ht="13.9" customHeight="1" thickBot="1" x14ac:dyDescent="0.25">
      <c r="A257" s="55" t="s">
        <v>62</v>
      </c>
      <c r="B257" s="56" t="s">
        <v>63</v>
      </c>
      <c r="C257" s="56" t="s">
        <v>40</v>
      </c>
      <c r="D257" s="57" t="s">
        <v>194</v>
      </c>
      <c r="E257" s="57" t="s">
        <v>64</v>
      </c>
      <c r="F257" s="58" t="s">
        <v>65</v>
      </c>
      <c r="G257" s="7"/>
    </row>
    <row r="258" spans="1:7" ht="13.9" hidden="1" customHeight="1" x14ac:dyDescent="0.2">
      <c r="A258" s="259" t="s">
        <v>327</v>
      </c>
      <c r="B258" s="49" t="s">
        <v>10</v>
      </c>
      <c r="C258" s="64"/>
      <c r="D258" s="78">
        <v>500</v>
      </c>
      <c r="E258" s="16">
        <f>+D258*C258</f>
        <v>0</v>
      </c>
      <c r="F258" s="50"/>
      <c r="G258" s="7"/>
    </row>
    <row r="259" spans="1:7" ht="13.9" hidden="1" customHeight="1" x14ac:dyDescent="0.2">
      <c r="A259" s="259" t="s">
        <v>326</v>
      </c>
      <c r="B259" s="49" t="s">
        <v>10</v>
      </c>
      <c r="C259" s="15"/>
      <c r="D259" s="78">
        <v>150</v>
      </c>
      <c r="E259" s="16">
        <f t="shared" ref="E259:E267" si="6">+D259*C259</f>
        <v>0</v>
      </c>
      <c r="F259" s="50"/>
      <c r="G259" s="7"/>
    </row>
    <row r="260" spans="1:7" ht="13.9" hidden="1" customHeight="1" x14ac:dyDescent="0.2">
      <c r="A260" s="259" t="s">
        <v>328</v>
      </c>
      <c r="B260" s="15" t="s">
        <v>10</v>
      </c>
      <c r="C260" s="64"/>
      <c r="D260" s="78">
        <v>200</v>
      </c>
      <c r="E260" s="16">
        <f t="shared" si="6"/>
        <v>0</v>
      </c>
      <c r="F260" s="50"/>
      <c r="G260" s="7"/>
    </row>
    <row r="261" spans="1:7" ht="13.9" customHeight="1" x14ac:dyDescent="0.2">
      <c r="A261" s="259" t="s">
        <v>342</v>
      </c>
      <c r="B261" s="278" t="s">
        <v>10</v>
      </c>
      <c r="C261" s="285">
        <v>2</v>
      </c>
      <c r="D261" s="76">
        <v>180</v>
      </c>
      <c r="E261" s="16">
        <f t="shared" ref="E261:E266" si="7">C261*D261</f>
        <v>360</v>
      </c>
      <c r="F261" s="50"/>
      <c r="G261" s="7"/>
    </row>
    <row r="262" spans="1:7" ht="13.9" customHeight="1" x14ac:dyDescent="0.2">
      <c r="A262" s="259" t="s">
        <v>385</v>
      </c>
      <c r="B262" s="49" t="s">
        <v>294</v>
      </c>
      <c r="C262" s="278">
        <v>200</v>
      </c>
      <c r="D262" s="268">
        <v>2.4</v>
      </c>
      <c r="E262" s="265">
        <f t="shared" ref="E262" si="8">+D262*C262</f>
        <v>480</v>
      </c>
      <c r="F262" s="50"/>
      <c r="G262" s="7"/>
    </row>
    <row r="263" spans="1:7" ht="25.5" x14ac:dyDescent="0.2">
      <c r="A263" s="399" t="s">
        <v>428</v>
      </c>
      <c r="B263" s="290" t="s">
        <v>357</v>
      </c>
      <c r="C263" s="267">
        <v>1</v>
      </c>
      <c r="D263" s="268">
        <v>1500</v>
      </c>
      <c r="E263" s="265">
        <f t="shared" ref="E263:E264" si="9">C263*D263</f>
        <v>1500</v>
      </c>
      <c r="F263" s="50"/>
      <c r="G263" s="7"/>
    </row>
    <row r="264" spans="1:7" ht="25.5" x14ac:dyDescent="0.2">
      <c r="A264" s="400" t="s">
        <v>427</v>
      </c>
      <c r="B264" s="290" t="s">
        <v>357</v>
      </c>
      <c r="C264" s="267">
        <v>1</v>
      </c>
      <c r="D264" s="268">
        <v>750</v>
      </c>
      <c r="E264" s="265">
        <f t="shared" si="9"/>
        <v>750</v>
      </c>
      <c r="F264" s="50"/>
      <c r="G264" s="7"/>
    </row>
    <row r="265" spans="1:7" ht="13.9" customHeight="1" thickBot="1" x14ac:dyDescent="0.25">
      <c r="A265" s="259" t="s">
        <v>303</v>
      </c>
      <c r="B265" s="278" t="s">
        <v>10</v>
      </c>
      <c r="C265" s="88">
        <v>8.3333333333333329E-2</v>
      </c>
      <c r="D265" s="76">
        <v>150</v>
      </c>
      <c r="E265" s="16">
        <f t="shared" si="7"/>
        <v>12.5</v>
      </c>
      <c r="F265" s="50"/>
      <c r="G265" s="7"/>
    </row>
    <row r="266" spans="1:7" ht="13.9" hidden="1" customHeight="1" x14ac:dyDescent="0.2">
      <c r="A266" s="259" t="s">
        <v>305</v>
      </c>
      <c r="B266" s="278" t="s">
        <v>304</v>
      </c>
      <c r="C266" s="260"/>
      <c r="D266" s="76"/>
      <c r="E266" s="16">
        <f t="shared" si="7"/>
        <v>0</v>
      </c>
      <c r="F266" s="50"/>
      <c r="G266" s="7"/>
    </row>
    <row r="267" spans="1:7" ht="13.9" hidden="1" customHeight="1" thickBot="1" x14ac:dyDescent="0.25">
      <c r="A267" s="259" t="s">
        <v>329</v>
      </c>
      <c r="B267" s="49" t="s">
        <v>294</v>
      </c>
      <c r="C267" s="15"/>
      <c r="D267" s="78">
        <v>0</v>
      </c>
      <c r="E267" s="16">
        <f t="shared" si="6"/>
        <v>0</v>
      </c>
      <c r="F267" s="50"/>
      <c r="G267" s="7"/>
    </row>
    <row r="268" spans="1:7" ht="13.9" customHeight="1" thickBot="1" x14ac:dyDescent="0.25">
      <c r="A268" s="10"/>
      <c r="B268" s="10"/>
      <c r="C268" s="10"/>
      <c r="D268" s="109" t="s">
        <v>164</v>
      </c>
      <c r="E268" s="255">
        <v>1</v>
      </c>
      <c r="F268" s="19">
        <f>SUM(E258:E267)</f>
        <v>3102.5</v>
      </c>
      <c r="G268" s="7"/>
    </row>
    <row r="269" spans="1:7" ht="11.25" customHeight="1" x14ac:dyDescent="0.2">
      <c r="G269" s="7"/>
    </row>
    <row r="270" spans="1:7" x14ac:dyDescent="0.2">
      <c r="A270" s="9" t="s">
        <v>331</v>
      </c>
      <c r="B270" s="9"/>
      <c r="C270" s="9"/>
      <c r="D270" s="32"/>
      <c r="E270" s="32"/>
      <c r="F270" s="31"/>
    </row>
    <row r="271" spans="1:7" ht="11.25" customHeight="1" thickBot="1" x14ac:dyDescent="0.25"/>
    <row r="272" spans="1:7" ht="13.5" thickBot="1" x14ac:dyDescent="0.25">
      <c r="A272" s="55" t="s">
        <v>62</v>
      </c>
      <c r="B272" s="56" t="s">
        <v>63</v>
      </c>
      <c r="C272" s="56" t="s">
        <v>40</v>
      </c>
      <c r="D272" s="57" t="s">
        <v>194</v>
      </c>
      <c r="E272" s="57" t="s">
        <v>64</v>
      </c>
      <c r="F272" s="58" t="s">
        <v>65</v>
      </c>
    </row>
    <row r="273" spans="1:7" x14ac:dyDescent="0.2">
      <c r="A273" s="259" t="s">
        <v>185</v>
      </c>
      <c r="B273" s="49" t="s">
        <v>57</v>
      </c>
      <c r="C273" s="64">
        <f>E49</f>
        <v>2</v>
      </c>
      <c r="D273" s="78">
        <v>300</v>
      </c>
      <c r="E273" s="16">
        <f>+D273*C273</f>
        <v>600</v>
      </c>
      <c r="F273" s="50"/>
    </row>
    <row r="274" spans="1:7" x14ac:dyDescent="0.2">
      <c r="A274" s="14" t="s">
        <v>59</v>
      </c>
      <c r="B274" s="49" t="s">
        <v>8</v>
      </c>
      <c r="C274" s="15">
        <v>60</v>
      </c>
      <c r="D274" s="71">
        <f>SUM(E273:E273)</f>
        <v>600</v>
      </c>
      <c r="E274" s="71">
        <f>+D274/C274</f>
        <v>10</v>
      </c>
      <c r="F274" s="50"/>
    </row>
    <row r="275" spans="1:7" x14ac:dyDescent="0.2">
      <c r="A275" s="14" t="s">
        <v>186</v>
      </c>
      <c r="B275" s="15" t="s">
        <v>10</v>
      </c>
      <c r="C275" s="64">
        <f>+C273</f>
        <v>2</v>
      </c>
      <c r="D275" s="78">
        <v>110</v>
      </c>
      <c r="E275" s="16">
        <f>C275*D275</f>
        <v>220</v>
      </c>
      <c r="F275" s="50"/>
    </row>
    <row r="276" spans="1:7" ht="13.5" thickBot="1" x14ac:dyDescent="0.25">
      <c r="A276" s="14" t="s">
        <v>37</v>
      </c>
      <c r="B276" s="49" t="s">
        <v>8</v>
      </c>
      <c r="C276" s="15">
        <v>1</v>
      </c>
      <c r="D276" s="71">
        <f>+E275</f>
        <v>220</v>
      </c>
      <c r="E276" s="71">
        <f>+D276/C276</f>
        <v>220</v>
      </c>
      <c r="F276" s="50"/>
    </row>
    <row r="277" spans="1:7" ht="13.5" thickBot="1" x14ac:dyDescent="0.25">
      <c r="A277" s="10"/>
      <c r="B277" s="10"/>
      <c r="C277" s="10"/>
      <c r="D277" s="109" t="s">
        <v>164</v>
      </c>
      <c r="E277" s="255">
        <f>E210</f>
        <v>0.3</v>
      </c>
      <c r="F277" s="19">
        <f>(E274+E276)*E277</f>
        <v>69</v>
      </c>
    </row>
    <row r="278" spans="1:7" s="48" customFormat="1" ht="11.25" customHeight="1" thickBot="1" x14ac:dyDescent="0.25">
      <c r="A278" s="7"/>
      <c r="B278" s="7"/>
      <c r="C278" s="7"/>
      <c r="D278" s="8"/>
      <c r="E278" s="8"/>
      <c r="F278" s="8"/>
      <c r="G278" s="73"/>
    </row>
    <row r="279" spans="1:7" ht="13.5" thickBot="1" x14ac:dyDescent="0.25">
      <c r="A279" s="22" t="s">
        <v>184</v>
      </c>
      <c r="B279" s="23"/>
      <c r="C279" s="23"/>
      <c r="D279" s="24"/>
      <c r="E279" s="25"/>
      <c r="F279" s="19">
        <f>+F277</f>
        <v>69</v>
      </c>
    </row>
    <row r="280" spans="1:7" ht="11.25" customHeight="1" thickBot="1" x14ac:dyDescent="0.25"/>
    <row r="281" spans="1:7" ht="17.25" customHeight="1" thickBot="1" x14ac:dyDescent="0.25">
      <c r="A281" s="22" t="s">
        <v>189</v>
      </c>
      <c r="B281" s="26"/>
      <c r="C281" s="26"/>
      <c r="D281" s="27"/>
      <c r="E281" s="28"/>
      <c r="F281" s="20">
        <f>+F135+F166+F245+F254+F279+F268</f>
        <v>34186.3888297753</v>
      </c>
    </row>
    <row r="282" spans="1:7" ht="11.25" customHeight="1" x14ac:dyDescent="0.2"/>
    <row r="283" spans="1:7" x14ac:dyDescent="0.2">
      <c r="A283" s="9" t="s">
        <v>332</v>
      </c>
    </row>
    <row r="284" spans="1:7" ht="11.25" customHeight="1" thickBot="1" x14ac:dyDescent="0.25"/>
    <row r="285" spans="1:7" ht="13.5" thickBot="1" x14ac:dyDescent="0.25">
      <c r="A285" s="55" t="s">
        <v>62</v>
      </c>
      <c r="B285" s="56" t="s">
        <v>63</v>
      </c>
      <c r="C285" s="56" t="s">
        <v>40</v>
      </c>
      <c r="D285" s="57" t="s">
        <v>194</v>
      </c>
      <c r="E285" s="57" t="s">
        <v>64</v>
      </c>
      <c r="F285" s="58" t="s">
        <v>65</v>
      </c>
    </row>
    <row r="286" spans="1:7" ht="13.5" thickBot="1" x14ac:dyDescent="0.25">
      <c r="A286" s="11" t="s">
        <v>36</v>
      </c>
      <c r="B286" s="12" t="s">
        <v>2</v>
      </c>
      <c r="C286" s="125">
        <f>'4.BDI'!C21*100</f>
        <v>27.700000000000003</v>
      </c>
      <c r="D286" s="13">
        <f>+F281</f>
        <v>34186.3888297753</v>
      </c>
      <c r="E286" s="13">
        <f>C286*D286/100</f>
        <v>9469.6297058477594</v>
      </c>
    </row>
    <row r="287" spans="1:7" ht="13.5" thickBot="1" x14ac:dyDescent="0.25">
      <c r="F287" s="19">
        <f>+E286</f>
        <v>9469.6297058477594</v>
      </c>
    </row>
    <row r="288" spans="1:7" ht="11.25" customHeight="1" thickBot="1" x14ac:dyDescent="0.25"/>
    <row r="289" spans="1:6" ht="13.5" thickBot="1" x14ac:dyDescent="0.25">
      <c r="A289" s="22" t="s">
        <v>199</v>
      </c>
      <c r="B289" s="26"/>
      <c r="C289" s="26"/>
      <c r="D289" s="27"/>
      <c r="E289" s="28"/>
      <c r="F289" s="20">
        <f>F287</f>
        <v>9469.6297058477594</v>
      </c>
    </row>
    <row r="290" spans="1:6" x14ac:dyDescent="0.2">
      <c r="A290" s="9"/>
      <c r="B290" s="9"/>
      <c r="C290" s="9"/>
      <c r="D290" s="32"/>
      <c r="E290" s="32"/>
      <c r="F290" s="31"/>
    </row>
    <row r="291" spans="1:6" ht="11.25" customHeight="1" thickBot="1" x14ac:dyDescent="0.25"/>
    <row r="292" spans="1:6" ht="24.75" customHeight="1" thickBot="1" x14ac:dyDescent="0.25">
      <c r="A292" s="22" t="s">
        <v>190</v>
      </c>
      <c r="B292" s="26"/>
      <c r="C292" s="26"/>
      <c r="D292" s="27"/>
      <c r="E292" s="28"/>
      <c r="F292" s="20">
        <f>F281+F289</f>
        <v>43656.018535623058</v>
      </c>
    </row>
    <row r="293" spans="1:6" ht="12.6" customHeight="1" x14ac:dyDescent="0.2">
      <c r="A293" s="51"/>
      <c r="B293" s="51"/>
      <c r="C293" s="51"/>
      <c r="D293" s="52"/>
      <c r="E293" s="52"/>
      <c r="F293" s="52"/>
    </row>
    <row r="294" spans="1:6" x14ac:dyDescent="0.2">
      <c r="F294" s="41"/>
    </row>
    <row r="295" spans="1:6" x14ac:dyDescent="0.2">
      <c r="F295" s="287"/>
    </row>
    <row r="323" s="7" customFormat="1" ht="9" customHeight="1" x14ac:dyDescent="0.2"/>
  </sheetData>
  <mergeCells count="8">
    <mergeCell ref="A11:F11"/>
    <mergeCell ref="A48:D48"/>
    <mergeCell ref="A12:F12"/>
    <mergeCell ref="A13:F13"/>
    <mergeCell ref="A15:F15"/>
    <mergeCell ref="A25:C25"/>
    <mergeCell ref="A41:E41"/>
    <mergeCell ref="A42:D42"/>
  </mergeCells>
  <hyperlinks>
    <hyperlink ref="A187" location="AbaRemun" display="3.1.2. Remuneração do Capital"/>
    <hyperlink ref="A170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6" fitToHeight="4" orientation="portrait" r:id="rId1"/>
  <headerFooter alignWithMargins="0">
    <oddFooter>&amp;R&amp;P de &amp;N</oddFooter>
  </headerFooter>
  <rowBreaks count="2" manualBreakCount="2">
    <brk id="109" max="5" man="1"/>
    <brk id="18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8" workbookViewId="0">
      <selection activeCell="A8" sqref="A8:C38"/>
    </sheetView>
  </sheetViews>
  <sheetFormatPr defaultColWidth="9.140625" defaultRowHeight="12.75" x14ac:dyDescent="0.2"/>
  <cols>
    <col min="1" max="1" width="13.5703125" style="1" customWidth="1"/>
    <col min="2" max="2" width="39.5703125" style="1" bestFit="1" customWidth="1"/>
    <col min="3" max="3" width="20.85546875" style="1" customWidth="1"/>
    <col min="4" max="4" width="37.28515625" style="1" customWidth="1"/>
    <col min="5" max="10" width="9.140625" style="1"/>
    <col min="11" max="11" width="11" style="1" bestFit="1" customWidth="1"/>
    <col min="12" max="16384" width="9.140625" style="1"/>
  </cols>
  <sheetData>
    <row r="1" spans="1:7" hidden="1" x14ac:dyDescent="0.2">
      <c r="A1" s="9" t="s">
        <v>171</v>
      </c>
    </row>
    <row r="2" spans="1:7" hidden="1" x14ac:dyDescent="0.2">
      <c r="A2" s="124" t="s">
        <v>201</v>
      </c>
    </row>
    <row r="3" spans="1:7" s="2" customFormat="1" ht="15.6" hidden="1" customHeight="1" x14ac:dyDescent="0.2">
      <c r="B3" s="3"/>
      <c r="C3" s="3"/>
      <c r="D3" s="3"/>
      <c r="E3" s="3"/>
      <c r="F3" s="3"/>
      <c r="G3" s="4"/>
    </row>
    <row r="4" spans="1:7" s="2" customFormat="1" ht="15.6" hidden="1" customHeight="1" x14ac:dyDescent="0.2">
      <c r="A4" s="250" t="s">
        <v>241</v>
      </c>
      <c r="B4" s="3"/>
      <c r="C4" s="3"/>
      <c r="D4" s="3"/>
      <c r="E4" s="3"/>
      <c r="F4" s="3"/>
      <c r="G4" s="4"/>
    </row>
    <row r="5" spans="1:7" s="2" customFormat="1" ht="16.5" hidden="1" customHeight="1" x14ac:dyDescent="0.2">
      <c r="A5" s="262" t="s">
        <v>255</v>
      </c>
      <c r="B5" s="3"/>
      <c r="C5" s="3"/>
      <c r="D5" s="4"/>
      <c r="E5" s="4"/>
      <c r="F5" s="4"/>
      <c r="G5" s="4"/>
    </row>
    <row r="6" spans="1:7" s="2" customFormat="1" ht="16.5" hidden="1" customHeight="1" x14ac:dyDescent="0.2">
      <c r="A6" s="262" t="s">
        <v>256</v>
      </c>
      <c r="B6" s="3"/>
      <c r="C6" s="3"/>
      <c r="D6" s="4"/>
      <c r="E6" s="4"/>
      <c r="F6" s="4"/>
      <c r="G6" s="4"/>
    </row>
    <row r="7" spans="1:7" ht="13.5" hidden="1" thickBot="1" x14ac:dyDescent="0.25"/>
    <row r="8" spans="1:7" ht="18" x14ac:dyDescent="0.2">
      <c r="A8" s="432" t="s">
        <v>312</v>
      </c>
      <c r="B8" s="433"/>
      <c r="C8" s="434"/>
      <c r="D8" s="132"/>
      <c r="E8" s="132"/>
      <c r="F8" s="132"/>
    </row>
    <row r="9" spans="1:7" ht="14.25" x14ac:dyDescent="0.2">
      <c r="A9" s="141" t="s">
        <v>110</v>
      </c>
      <c r="B9" s="142" t="s">
        <v>111</v>
      </c>
      <c r="C9" s="143" t="s">
        <v>112</v>
      </c>
      <c r="D9" s="144"/>
    </row>
    <row r="10" spans="1:7" ht="14.25" x14ac:dyDescent="0.2">
      <c r="A10" s="141" t="s">
        <v>113</v>
      </c>
      <c r="B10" s="142" t="s">
        <v>41</v>
      </c>
      <c r="C10" s="145">
        <v>0.2</v>
      </c>
      <c r="D10" s="144"/>
    </row>
    <row r="11" spans="1:7" ht="14.25" x14ac:dyDescent="0.2">
      <c r="A11" s="141" t="s">
        <v>114</v>
      </c>
      <c r="B11" s="142" t="s">
        <v>115</v>
      </c>
      <c r="C11" s="145">
        <v>1.4999999999999999E-2</v>
      </c>
      <c r="D11" s="144"/>
    </row>
    <row r="12" spans="1:7" ht="14.25" x14ac:dyDescent="0.2">
      <c r="A12" s="141" t="s">
        <v>116</v>
      </c>
      <c r="B12" s="142" t="s">
        <v>117</v>
      </c>
      <c r="C12" s="145">
        <v>0.01</v>
      </c>
      <c r="D12" s="144"/>
    </row>
    <row r="13" spans="1:7" ht="14.25" x14ac:dyDescent="0.2">
      <c r="A13" s="141" t="s">
        <v>118</v>
      </c>
      <c r="B13" s="142" t="s">
        <v>119</v>
      </c>
      <c r="C13" s="145">
        <v>2E-3</v>
      </c>
      <c r="D13" s="144"/>
    </row>
    <row r="14" spans="1:7" ht="14.25" x14ac:dyDescent="0.2">
      <c r="A14" s="141" t="s">
        <v>120</v>
      </c>
      <c r="B14" s="142" t="s">
        <v>121</v>
      </c>
      <c r="C14" s="145">
        <v>6.0000000000000001E-3</v>
      </c>
      <c r="D14" s="144"/>
    </row>
    <row r="15" spans="1:7" ht="14.25" x14ac:dyDescent="0.2">
      <c r="A15" s="141" t="s">
        <v>122</v>
      </c>
      <c r="B15" s="142" t="s">
        <v>123</v>
      </c>
      <c r="C15" s="145">
        <v>2.5000000000000001E-2</v>
      </c>
      <c r="D15" s="144"/>
    </row>
    <row r="16" spans="1:7" ht="14.25" x14ac:dyDescent="0.2">
      <c r="A16" s="141" t="s">
        <v>124</v>
      </c>
      <c r="B16" s="142" t="s">
        <v>125</v>
      </c>
      <c r="C16" s="145">
        <v>0.03</v>
      </c>
      <c r="D16" s="144"/>
    </row>
    <row r="17" spans="1:8" ht="14.25" x14ac:dyDescent="0.2">
      <c r="A17" s="141" t="s">
        <v>126</v>
      </c>
      <c r="B17" s="142" t="s">
        <v>42</v>
      </c>
      <c r="C17" s="145">
        <v>0.08</v>
      </c>
      <c r="D17" s="144"/>
    </row>
    <row r="18" spans="1:8" ht="15" x14ac:dyDescent="0.2">
      <c r="A18" s="141" t="s">
        <v>127</v>
      </c>
      <c r="B18" s="146" t="s">
        <v>128</v>
      </c>
      <c r="C18" s="147">
        <f>SUM(C10:C17)</f>
        <v>0.36800000000000005</v>
      </c>
      <c r="D18" s="144"/>
    </row>
    <row r="19" spans="1:8" ht="15" x14ac:dyDescent="0.2">
      <c r="A19" s="148"/>
      <c r="B19" s="149"/>
      <c r="C19" s="150"/>
      <c r="D19" s="144"/>
    </row>
    <row r="20" spans="1:8" ht="14.25" x14ac:dyDescent="0.2">
      <c r="A20" s="141" t="s">
        <v>129</v>
      </c>
      <c r="B20" s="151" t="s">
        <v>130</v>
      </c>
      <c r="C20" s="145">
        <v>6.5699999999999995E-2</v>
      </c>
      <c r="D20" s="144"/>
    </row>
    <row r="21" spans="1:8" ht="14.25" x14ac:dyDescent="0.2">
      <c r="A21" s="141" t="s">
        <v>131</v>
      </c>
      <c r="B21" s="151" t="s">
        <v>132</v>
      </c>
      <c r="C21" s="145">
        <v>8.3299999999999999E-2</v>
      </c>
      <c r="D21" s="144"/>
    </row>
    <row r="22" spans="1:8" ht="14.25" x14ac:dyDescent="0.2">
      <c r="A22" s="141" t="s">
        <v>183</v>
      </c>
      <c r="B22" s="151" t="s">
        <v>134</v>
      </c>
      <c r="C22" s="145">
        <v>5.9999999999999995E-4</v>
      </c>
      <c r="D22" s="144"/>
    </row>
    <row r="23" spans="1:8" ht="14.25" x14ac:dyDescent="0.2">
      <c r="A23" s="141" t="s">
        <v>133</v>
      </c>
      <c r="B23" s="151" t="s">
        <v>136</v>
      </c>
      <c r="C23" s="145">
        <v>8.2000000000000007E-3</v>
      </c>
      <c r="D23" s="144"/>
    </row>
    <row r="24" spans="1:8" ht="14.25" x14ac:dyDescent="0.2">
      <c r="A24" s="141" t="s">
        <v>135</v>
      </c>
      <c r="B24" s="151" t="s">
        <v>138</v>
      </c>
      <c r="C24" s="145">
        <v>3.0999999999999999E-3</v>
      </c>
      <c r="D24" s="144"/>
    </row>
    <row r="25" spans="1:8" ht="14.25" x14ac:dyDescent="0.2">
      <c r="A25" s="141" t="s">
        <v>137</v>
      </c>
      <c r="B25" s="151" t="s">
        <v>139</v>
      </c>
      <c r="C25" s="145">
        <v>1.2E-2</v>
      </c>
      <c r="D25" s="144"/>
    </row>
    <row r="26" spans="1:8" ht="15" x14ac:dyDescent="0.2">
      <c r="A26" s="141" t="s">
        <v>140</v>
      </c>
      <c r="B26" s="146" t="s">
        <v>141</v>
      </c>
      <c r="C26" s="147">
        <f>SUM(C20:C25)</f>
        <v>0.1729</v>
      </c>
      <c r="D26" s="152"/>
    </row>
    <row r="27" spans="1:8" ht="15" x14ac:dyDescent="0.2">
      <c r="A27" s="148"/>
      <c r="B27" s="149"/>
      <c r="C27" s="150"/>
      <c r="D27" s="152"/>
    </row>
    <row r="28" spans="1:8" ht="14.25" x14ac:dyDescent="0.2">
      <c r="A28" s="141" t="s">
        <v>142</v>
      </c>
      <c r="B28" s="142" t="s">
        <v>143</v>
      </c>
      <c r="C28" s="145">
        <v>2.1000000000000001E-2</v>
      </c>
      <c r="D28" s="144"/>
      <c r="E28" s="153"/>
    </row>
    <row r="29" spans="1:8" ht="14.25" x14ac:dyDescent="0.2">
      <c r="A29" s="141" t="s">
        <v>182</v>
      </c>
      <c r="B29" s="142" t="s">
        <v>145</v>
      </c>
      <c r="C29" s="145">
        <v>4.5400000000000003E-2</v>
      </c>
      <c r="D29" s="144"/>
      <c r="H29" s="154"/>
    </row>
    <row r="30" spans="1:8" ht="14.25" x14ac:dyDescent="0.2">
      <c r="A30" s="141" t="s">
        <v>144</v>
      </c>
      <c r="B30" s="142" t="s">
        <v>147</v>
      </c>
      <c r="C30" s="145">
        <f>C28*C29</f>
        <v>9.5340000000000008E-4</v>
      </c>
      <c r="D30" s="144"/>
      <c r="E30" s="153"/>
    </row>
    <row r="31" spans="1:8" ht="14.25" x14ac:dyDescent="0.2">
      <c r="A31" s="141" t="s">
        <v>146</v>
      </c>
      <c r="B31" s="142" t="s">
        <v>149</v>
      </c>
      <c r="C31" s="145">
        <v>1.7999999999999999E-2</v>
      </c>
      <c r="D31" s="144"/>
      <c r="G31" s="153"/>
    </row>
    <row r="32" spans="1:8" ht="14.25" x14ac:dyDescent="0.2">
      <c r="A32" s="141" t="s">
        <v>148</v>
      </c>
      <c r="B32" s="142" t="s">
        <v>150</v>
      </c>
      <c r="C32" s="145">
        <v>2E-3</v>
      </c>
      <c r="D32" s="144"/>
    </row>
    <row r="33" spans="1:4" ht="15" x14ac:dyDescent="0.2">
      <c r="A33" s="141" t="s">
        <v>151</v>
      </c>
      <c r="B33" s="146" t="s">
        <v>152</v>
      </c>
      <c r="C33" s="147">
        <f>SUM(C28:C32)</f>
        <v>8.7353400000000012E-2</v>
      </c>
      <c r="D33" s="152"/>
    </row>
    <row r="34" spans="1:4" ht="15" x14ac:dyDescent="0.2">
      <c r="A34" s="148"/>
      <c r="B34" s="149"/>
      <c r="C34" s="150"/>
      <c r="D34" s="152"/>
    </row>
    <row r="35" spans="1:4" ht="14.25" x14ac:dyDescent="0.2">
      <c r="A35" s="141" t="s">
        <v>153</v>
      </c>
      <c r="B35" s="142" t="s">
        <v>154</v>
      </c>
      <c r="C35" s="145">
        <f>ROUND(C18*C26,4)</f>
        <v>6.3600000000000004E-2</v>
      </c>
      <c r="D35" s="144"/>
    </row>
    <row r="36" spans="1:4" ht="28.5" x14ac:dyDescent="0.2">
      <c r="A36" s="141" t="s">
        <v>155</v>
      </c>
      <c r="B36" s="155" t="s">
        <v>237</v>
      </c>
      <c r="C36" s="145">
        <f>ROUND((C28*C17),4)</f>
        <v>1.6999999999999999E-3</v>
      </c>
      <c r="D36" s="144"/>
    </row>
    <row r="37" spans="1:4" ht="15" x14ac:dyDescent="0.2">
      <c r="A37" s="141" t="s">
        <v>156</v>
      </c>
      <c r="B37" s="146" t="s">
        <v>157</v>
      </c>
      <c r="C37" s="147">
        <f>SUM(C35:C36)</f>
        <v>6.5299999999999997E-2</v>
      </c>
      <c r="D37" s="152"/>
    </row>
    <row r="38" spans="1:4" ht="15.75" thickBot="1" x14ac:dyDescent="0.25">
      <c r="A38" s="156"/>
      <c r="B38" s="157" t="s">
        <v>158</v>
      </c>
      <c r="C38" s="158">
        <f>C37+C33+C26+C18</f>
        <v>0.6935534000000001</v>
      </c>
      <c r="D38" s="152"/>
    </row>
    <row r="39" spans="1:4" ht="15" x14ac:dyDescent="0.2">
      <c r="A39" s="144"/>
      <c r="B39" s="159"/>
      <c r="C39" s="160"/>
      <c r="D39" s="161"/>
    </row>
    <row r="40" spans="1:4" ht="14.25" x14ac:dyDescent="0.2">
      <c r="A40" s="144"/>
      <c r="B40" s="144"/>
      <c r="C40" s="162"/>
      <c r="D40" s="163"/>
    </row>
    <row r="41" spans="1:4" ht="14.25" x14ac:dyDescent="0.2">
      <c r="A41" s="144"/>
      <c r="B41" s="144"/>
      <c r="C41" s="162"/>
      <c r="D41" s="144"/>
    </row>
    <row r="42" spans="1:4" ht="14.25" x14ac:dyDescent="0.2">
      <c r="A42" s="144"/>
      <c r="B42" s="144"/>
      <c r="C42" s="162"/>
      <c r="D42" s="144"/>
    </row>
    <row r="43" spans="1:4" ht="14.25" x14ac:dyDescent="0.2">
      <c r="A43" s="144"/>
      <c r="B43" s="144"/>
      <c r="C43" s="162"/>
      <c r="D43" s="144"/>
    </row>
    <row r="44" spans="1:4" ht="15" x14ac:dyDescent="0.2">
      <c r="A44" s="144"/>
      <c r="B44" s="159"/>
      <c r="C44" s="160"/>
      <c r="D44" s="144"/>
    </row>
    <row r="45" spans="1:4" ht="15" x14ac:dyDescent="0.2">
      <c r="A45" s="152"/>
      <c r="B45" s="159"/>
      <c r="C45" s="160"/>
      <c r="D45" s="152"/>
    </row>
    <row r="46" spans="1:4" ht="16.5" x14ac:dyDescent="0.2">
      <c r="A46" s="164"/>
    </row>
    <row r="47" spans="1:4" x14ac:dyDescent="0.2">
      <c r="A47" s="165"/>
      <c r="B47" s="166"/>
      <c r="C47" s="166"/>
    </row>
    <row r="48" spans="1:4" ht="14.25" x14ac:dyDescent="0.2">
      <c r="A48" s="144"/>
      <c r="B48" s="167"/>
      <c r="C48" s="166"/>
    </row>
    <row r="49" spans="1:3" ht="14.25" x14ac:dyDescent="0.2">
      <c r="A49" s="144"/>
      <c r="B49" s="167"/>
      <c r="C49" s="144"/>
    </row>
    <row r="50" spans="1:3" ht="14.25" x14ac:dyDescent="0.2">
      <c r="A50" s="144"/>
      <c r="B50" s="162"/>
      <c r="C50" s="166"/>
    </row>
    <row r="51" spans="1:3" ht="14.25" x14ac:dyDescent="0.2">
      <c r="A51" s="144"/>
      <c r="B51" s="167"/>
      <c r="C51" s="144"/>
    </row>
    <row r="52" spans="1:3" ht="14.25" x14ac:dyDescent="0.2">
      <c r="A52" s="144"/>
      <c r="B52" s="162"/>
      <c r="C52" s="166"/>
    </row>
    <row r="53" spans="1:3" ht="14.25" x14ac:dyDescent="0.2">
      <c r="A53" s="144"/>
      <c r="B53" s="167"/>
      <c r="C53" s="144"/>
    </row>
    <row r="54" spans="1:3" ht="14.25" x14ac:dyDescent="0.2">
      <c r="A54" s="144"/>
      <c r="B54" s="162"/>
      <c r="C54" s="166"/>
    </row>
    <row r="55" spans="1:3" ht="14.25" x14ac:dyDescent="0.2">
      <c r="A55" s="144"/>
      <c r="B55" s="167"/>
      <c r="C55" s="144"/>
    </row>
    <row r="56" spans="1:3" ht="14.25" x14ac:dyDescent="0.2">
      <c r="A56" s="144"/>
      <c r="B56" s="162"/>
      <c r="C56" s="166"/>
    </row>
    <row r="57" spans="1:3" ht="16.5" x14ac:dyDescent="0.2">
      <c r="A57" s="164"/>
    </row>
    <row r="60" spans="1:3" x14ac:dyDescent="0.2">
      <c r="A60" s="168"/>
    </row>
  </sheetData>
  <mergeCells count="1">
    <mergeCell ref="A8:C8"/>
  </mergeCells>
  <pageMargins left="0.90551181102362199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A9" sqref="A9:F21"/>
    </sheetView>
  </sheetViews>
  <sheetFormatPr defaultRowHeight="12.75" x14ac:dyDescent="0.2"/>
  <cols>
    <col min="1" max="1" width="41.85546875" bestFit="1" customWidth="1"/>
    <col min="2" max="2" width="5.5703125" bestFit="1" customWidth="1"/>
    <col min="4" max="4" width="9.7109375" bestFit="1" customWidth="1"/>
    <col min="5" max="5" width="8" style="108" bestFit="1" customWidth="1"/>
    <col min="6" max="6" width="9.7109375" bestFit="1" customWidth="1"/>
  </cols>
  <sheetData>
    <row r="1" spans="1:8" s="129" customFormat="1" ht="14.25" x14ac:dyDescent="0.2">
      <c r="A1" s="9" t="s">
        <v>171</v>
      </c>
      <c r="B1" s="6"/>
      <c r="C1" s="6"/>
      <c r="E1" s="130"/>
    </row>
    <row r="2" spans="1:8" s="129" customFormat="1" ht="14.25" x14ac:dyDescent="0.2">
      <c r="A2" s="124" t="s">
        <v>202</v>
      </c>
      <c r="B2" s="6"/>
      <c r="C2" s="6"/>
      <c r="E2" s="130"/>
    </row>
    <row r="3" spans="1:8" s="129" customFormat="1" ht="14.25" x14ac:dyDescent="0.2">
      <c r="A3" s="7" t="s">
        <v>172</v>
      </c>
      <c r="B3" s="6"/>
      <c r="C3" s="6"/>
      <c r="E3" s="130"/>
    </row>
    <row r="4" spans="1:8" s="129" customFormat="1" ht="14.25" x14ac:dyDescent="0.2">
      <c r="A4" s="7"/>
      <c r="B4" s="6"/>
      <c r="C4" s="6"/>
      <c r="E4" s="130"/>
    </row>
    <row r="5" spans="1:8" s="2" customFormat="1" ht="15.6" hidden="1" customHeight="1" x14ac:dyDescent="0.2">
      <c r="A5" s="250" t="s">
        <v>241</v>
      </c>
      <c r="B5" s="3"/>
      <c r="C5" s="3"/>
      <c r="D5" s="3"/>
      <c r="E5" s="3"/>
      <c r="F5" s="3"/>
      <c r="G5" s="4"/>
    </row>
    <row r="6" spans="1:8" s="2" customFormat="1" ht="16.5" customHeight="1" x14ac:dyDescent="0.2">
      <c r="A6" s="262" t="s">
        <v>253</v>
      </c>
      <c r="B6" s="3"/>
      <c r="C6" s="3"/>
      <c r="D6" s="4"/>
      <c r="E6" s="4"/>
      <c r="F6" s="4"/>
      <c r="G6" s="4"/>
    </row>
    <row r="7" spans="1:8" s="2" customFormat="1" ht="16.5" customHeight="1" x14ac:dyDescent="0.2">
      <c r="A7" s="262" t="s">
        <v>254</v>
      </c>
      <c r="B7" s="3"/>
      <c r="C7" s="3"/>
      <c r="D7" s="4"/>
      <c r="E7" s="4"/>
      <c r="F7" s="4"/>
      <c r="G7" s="4"/>
    </row>
    <row r="8" spans="1:8" s="129" customFormat="1" ht="15" thickBot="1" x14ac:dyDescent="0.25">
      <c r="B8" s="6"/>
      <c r="C8" s="6"/>
      <c r="E8" s="130"/>
    </row>
    <row r="9" spans="1:8" ht="15.75" x14ac:dyDescent="0.2">
      <c r="A9" s="440" t="s">
        <v>313</v>
      </c>
      <c r="B9" s="441"/>
      <c r="C9" s="441"/>
      <c r="D9" s="441"/>
      <c r="E9" s="441"/>
      <c r="F9" s="442"/>
    </row>
    <row r="10" spans="1:8" ht="16.5" thickBot="1" x14ac:dyDescent="0.25">
      <c r="A10" s="215"/>
      <c r="B10" s="216"/>
      <c r="C10" s="216"/>
      <c r="D10" s="216"/>
      <c r="E10" s="216"/>
      <c r="F10" s="217"/>
    </row>
    <row r="11" spans="1:8" ht="15" x14ac:dyDescent="0.25">
      <c r="A11" s="172"/>
      <c r="B11" s="6"/>
      <c r="C11" s="6"/>
      <c r="D11" s="437" t="s">
        <v>200</v>
      </c>
      <c r="E11" s="438"/>
      <c r="F11" s="439"/>
      <c r="G11" s="129"/>
      <c r="H11" s="129"/>
    </row>
    <row r="12" spans="1:8" ht="15" thickBot="1" x14ac:dyDescent="0.25">
      <c r="A12" s="171"/>
      <c r="B12" s="129"/>
      <c r="C12" s="129"/>
      <c r="D12" s="173" t="s">
        <v>159</v>
      </c>
      <c r="E12" s="174" t="s">
        <v>160</v>
      </c>
      <c r="F12" s="175" t="s">
        <v>161</v>
      </c>
      <c r="G12" s="129"/>
      <c r="H12" s="129"/>
    </row>
    <row r="13" spans="1:8" ht="14.25" x14ac:dyDescent="0.2">
      <c r="A13" s="176" t="s">
        <v>72</v>
      </c>
      <c r="B13" s="177" t="s">
        <v>73</v>
      </c>
      <c r="C13" s="178">
        <v>0.06</v>
      </c>
      <c r="D13" s="199">
        <v>2.9700000000000001E-2</v>
      </c>
      <c r="E13" s="200">
        <v>5.0799999999999998E-2</v>
      </c>
      <c r="F13" s="201">
        <v>6.2700000000000006E-2</v>
      </c>
      <c r="G13" s="129"/>
      <c r="H13" s="129"/>
    </row>
    <row r="14" spans="1:8" ht="14.25" x14ac:dyDescent="0.2">
      <c r="A14" s="180" t="s">
        <v>74</v>
      </c>
      <c r="B14" s="181" t="s">
        <v>75</v>
      </c>
      <c r="C14" s="182">
        <v>1.3299999999999999E-2</v>
      </c>
      <c r="D14" s="199">
        <f>0.3%+0.56%</f>
        <v>8.6E-3</v>
      </c>
      <c r="E14" s="200">
        <f>0.48%+0.85%</f>
        <v>1.3299999999999999E-2</v>
      </c>
      <c r="F14" s="201">
        <f>0.82%+0.89%</f>
        <v>1.7099999999999997E-2</v>
      </c>
      <c r="G14" s="129"/>
      <c r="H14" s="129"/>
    </row>
    <row r="15" spans="1:8" ht="14.25" x14ac:dyDescent="0.2">
      <c r="A15" s="180" t="s">
        <v>76</v>
      </c>
      <c r="B15" s="181" t="s">
        <v>77</v>
      </c>
      <c r="C15" s="182">
        <v>0.1085</v>
      </c>
      <c r="D15" s="199">
        <v>7.7799999999999994E-2</v>
      </c>
      <c r="E15" s="200">
        <v>0.1085</v>
      </c>
      <c r="F15" s="201">
        <v>0.13550000000000001</v>
      </c>
      <c r="G15" s="129"/>
      <c r="H15" s="129"/>
    </row>
    <row r="16" spans="1:8" ht="14.25" x14ac:dyDescent="0.2">
      <c r="A16" s="180" t="s">
        <v>78</v>
      </c>
      <c r="B16" s="181" t="s">
        <v>79</v>
      </c>
      <c r="C16" s="183">
        <f>(1+E16)^(E17/252)-1</f>
        <v>1.9830218258378718E-3</v>
      </c>
      <c r="D16" s="199" t="s">
        <v>229</v>
      </c>
      <c r="E16" s="184">
        <v>0.105</v>
      </c>
      <c r="F16" s="179"/>
      <c r="G16" s="129"/>
      <c r="H16" s="129"/>
    </row>
    <row r="17" spans="1:8" ht="14.25" x14ac:dyDescent="0.2">
      <c r="A17" s="180" t="s">
        <v>80</v>
      </c>
      <c r="B17" s="435" t="s">
        <v>81</v>
      </c>
      <c r="C17" s="182">
        <v>0.03</v>
      </c>
      <c r="D17" s="248" t="s">
        <v>162</v>
      </c>
      <c r="E17" s="185">
        <v>5</v>
      </c>
      <c r="F17" s="186"/>
      <c r="G17" s="129"/>
      <c r="H17" s="129"/>
    </row>
    <row r="18" spans="1:8" ht="15" thickBot="1" x14ac:dyDescent="0.25">
      <c r="A18" s="187" t="s">
        <v>295</v>
      </c>
      <c r="B18" s="436"/>
      <c r="C18" s="188">
        <v>3.6499999999999998E-2</v>
      </c>
      <c r="D18" s="169"/>
      <c r="E18" s="189"/>
      <c r="F18" s="186"/>
      <c r="G18" s="129"/>
      <c r="H18" s="129"/>
    </row>
    <row r="19" spans="1:8" ht="14.25" x14ac:dyDescent="0.2">
      <c r="A19" s="190" t="s">
        <v>82</v>
      </c>
      <c r="B19" s="191"/>
      <c r="C19" s="192"/>
      <c r="D19" s="169"/>
      <c r="E19" s="189"/>
      <c r="F19" s="186"/>
      <c r="G19" s="129"/>
      <c r="H19" s="129"/>
    </row>
    <row r="20" spans="1:8" ht="15" thickBot="1" x14ac:dyDescent="0.25">
      <c r="A20" s="193" t="s">
        <v>83</v>
      </c>
      <c r="B20" s="194"/>
      <c r="C20" s="195"/>
      <c r="D20" s="169"/>
      <c r="E20" s="189"/>
      <c r="F20" s="186"/>
      <c r="G20" s="129"/>
      <c r="H20" s="129"/>
    </row>
    <row r="21" spans="1:8" ht="15.75" thickBot="1" x14ac:dyDescent="0.25">
      <c r="A21" s="196" t="s">
        <v>84</v>
      </c>
      <c r="B21" s="197"/>
      <c r="C21" s="198">
        <f>ROUND((((1+C13+C14)*(1+C15)*(1+C16))/(1-(C17+C18))-1),4)</f>
        <v>0.27700000000000002</v>
      </c>
      <c r="D21" s="202">
        <v>0.21429999999999999</v>
      </c>
      <c r="E21" s="203">
        <v>0.2717</v>
      </c>
      <c r="F21" s="204">
        <v>0.3362</v>
      </c>
      <c r="G21" s="129"/>
      <c r="H21" s="129"/>
    </row>
    <row r="22" spans="1:8" ht="14.25" x14ac:dyDescent="0.2">
      <c r="A22" s="129"/>
      <c r="B22" s="129"/>
      <c r="C22" s="129"/>
      <c r="D22" s="129"/>
      <c r="E22" s="130"/>
      <c r="F22" s="129"/>
      <c r="G22" s="129"/>
      <c r="H22" s="129"/>
    </row>
    <row r="23" spans="1:8" ht="14.25" x14ac:dyDescent="0.2">
      <c r="A23" s="129"/>
      <c r="B23" s="129"/>
      <c r="C23" s="129"/>
      <c r="D23" s="129"/>
      <c r="E23" s="130"/>
      <c r="F23" s="129"/>
      <c r="G23" s="129"/>
      <c r="H23" s="129"/>
    </row>
    <row r="24" spans="1:8" ht="14.25" x14ac:dyDescent="0.2">
      <c r="A24" s="129"/>
      <c r="B24" s="129"/>
      <c r="C24" s="129"/>
      <c r="D24" s="129"/>
      <c r="E24" s="130"/>
      <c r="F24" s="129"/>
      <c r="G24" s="129"/>
      <c r="H24" s="129"/>
    </row>
    <row r="25" spans="1:8" ht="14.25" x14ac:dyDescent="0.2">
      <c r="A25" s="129"/>
      <c r="B25" s="129"/>
      <c r="C25" s="129"/>
      <c r="D25" s="129"/>
      <c r="E25" s="130"/>
      <c r="F25" s="129"/>
      <c r="G25" s="129"/>
      <c r="H25" s="129"/>
    </row>
  </sheetData>
  <mergeCells count="3">
    <mergeCell ref="B17:B18"/>
    <mergeCell ref="D11:F11"/>
    <mergeCell ref="A9:F9"/>
  </mergeCells>
  <pageMargins left="0.90551181102362199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sqref="A1:C23"/>
    </sheetView>
  </sheetViews>
  <sheetFormatPr defaultColWidth="8.85546875" defaultRowHeight="15" x14ac:dyDescent="0.25"/>
  <cols>
    <col min="1" max="1" width="18.28515625" style="295" customWidth="1"/>
    <col min="2" max="2" width="14.7109375" style="295" customWidth="1"/>
    <col min="3" max="3" width="18" style="295" customWidth="1"/>
    <col min="4" max="4" width="8.85546875" style="295"/>
    <col min="5" max="6" width="11.42578125" style="295" hidden="1" customWidth="1"/>
    <col min="7" max="7" width="11.42578125" style="295" bestFit="1" customWidth="1"/>
    <col min="8" max="8" width="8.85546875" style="295"/>
    <col min="9" max="10" width="11.28515625" style="295" bestFit="1" customWidth="1"/>
    <col min="11" max="16384" width="8.85546875" style="295"/>
  </cols>
  <sheetData>
    <row r="1" spans="1:10" ht="15.75" x14ac:dyDescent="0.25">
      <c r="A1" s="294" t="s">
        <v>392</v>
      </c>
    </row>
    <row r="2" spans="1:10" ht="15.75" x14ac:dyDescent="0.25">
      <c r="A2" s="294" t="s">
        <v>376</v>
      </c>
    </row>
    <row r="3" spans="1:10" ht="15.75" x14ac:dyDescent="0.25">
      <c r="A3" s="294" t="s">
        <v>450</v>
      </c>
    </row>
    <row r="4" spans="1:10" x14ac:dyDescent="0.25">
      <c r="A4" s="296"/>
    </row>
    <row r="5" spans="1:10" x14ac:dyDescent="0.25">
      <c r="A5" s="443" t="s">
        <v>451</v>
      </c>
      <c r="B5" s="444"/>
      <c r="C5" s="445"/>
      <c r="E5" s="297" t="s">
        <v>338</v>
      </c>
      <c r="F5" s="297" t="s">
        <v>338</v>
      </c>
    </row>
    <row r="6" spans="1:10" x14ac:dyDescent="0.25">
      <c r="A6" s="298" t="s">
        <v>257</v>
      </c>
      <c r="B6" s="298" t="s">
        <v>351</v>
      </c>
      <c r="C6" s="298" t="s">
        <v>352</v>
      </c>
      <c r="E6" s="297">
        <v>108.51</v>
      </c>
      <c r="F6" s="297"/>
    </row>
    <row r="7" spans="1:10" x14ac:dyDescent="0.25">
      <c r="A7" s="299">
        <v>1</v>
      </c>
      <c r="B7" s="300">
        <v>45047</v>
      </c>
      <c r="C7" s="363">
        <v>322.55</v>
      </c>
      <c r="E7" s="297"/>
      <c r="F7" s="297"/>
    </row>
    <row r="8" spans="1:10" x14ac:dyDescent="0.25">
      <c r="A8" s="299">
        <v>2</v>
      </c>
      <c r="B8" s="300">
        <v>45078</v>
      </c>
      <c r="C8" s="364">
        <v>247.68</v>
      </c>
      <c r="E8" s="301">
        <v>167002.32</v>
      </c>
      <c r="F8" s="301">
        <v>149423.01999999999</v>
      </c>
      <c r="G8" s="302"/>
    </row>
    <row r="9" spans="1:10" x14ac:dyDescent="0.25">
      <c r="A9" s="299">
        <v>3</v>
      </c>
      <c r="B9" s="300">
        <v>45108</v>
      </c>
      <c r="C9" s="363">
        <v>331.86</v>
      </c>
      <c r="E9" s="301">
        <v>161699.19</v>
      </c>
      <c r="F9" s="301">
        <v>162196.92000000001</v>
      </c>
      <c r="G9" s="302"/>
    </row>
    <row r="10" spans="1:10" x14ac:dyDescent="0.25">
      <c r="A10" s="299">
        <v>4</v>
      </c>
      <c r="B10" s="300">
        <v>45139</v>
      </c>
      <c r="C10" s="363">
        <v>251.67</v>
      </c>
      <c r="E10" s="301">
        <v>208994.6</v>
      </c>
      <c r="F10" s="301">
        <v>184293.52</v>
      </c>
      <c r="G10" s="302"/>
    </row>
    <row r="11" spans="1:10" x14ac:dyDescent="0.25">
      <c r="A11" s="299">
        <v>5</v>
      </c>
      <c r="B11" s="300">
        <v>45170</v>
      </c>
      <c r="C11" s="363">
        <v>286.86</v>
      </c>
      <c r="E11" s="301">
        <v>206941.59</v>
      </c>
      <c r="F11" s="301">
        <v>188710.15</v>
      </c>
      <c r="G11" s="302"/>
    </row>
    <row r="12" spans="1:10" x14ac:dyDescent="0.25">
      <c r="A12" s="299">
        <v>6</v>
      </c>
      <c r="B12" s="300">
        <v>45200</v>
      </c>
      <c r="C12" s="363">
        <v>353.54</v>
      </c>
      <c r="E12" s="301">
        <v>196574.55</v>
      </c>
      <c r="F12" s="301">
        <v>173346.67</v>
      </c>
      <c r="G12" s="302"/>
    </row>
    <row r="13" spans="1:10" x14ac:dyDescent="0.25">
      <c r="A13" s="299">
        <v>7</v>
      </c>
      <c r="B13" s="300">
        <v>45231</v>
      </c>
      <c r="C13" s="363">
        <v>347.16</v>
      </c>
      <c r="E13" s="301">
        <v>205827.19</v>
      </c>
      <c r="F13" s="301">
        <v>185553.22</v>
      </c>
      <c r="G13" s="302"/>
    </row>
    <row r="14" spans="1:10" x14ac:dyDescent="0.25">
      <c r="A14" s="299">
        <v>8</v>
      </c>
      <c r="B14" s="300">
        <v>45261</v>
      </c>
      <c r="C14" s="363">
        <v>305.05</v>
      </c>
      <c r="E14" s="301">
        <v>207811.84</v>
      </c>
      <c r="F14" s="301">
        <v>191612.26</v>
      </c>
      <c r="G14" s="302"/>
      <c r="I14" s="303"/>
      <c r="J14" s="303"/>
    </row>
    <row r="15" spans="1:10" x14ac:dyDescent="0.25">
      <c r="A15" s="299">
        <v>9</v>
      </c>
      <c r="B15" s="300">
        <v>45292</v>
      </c>
      <c r="C15" s="363">
        <v>329.96</v>
      </c>
      <c r="E15" s="301">
        <v>195773.74</v>
      </c>
      <c r="F15" s="301">
        <v>179339.36</v>
      </c>
      <c r="G15" s="302"/>
    </row>
    <row r="16" spans="1:10" x14ac:dyDescent="0.25">
      <c r="A16" s="299">
        <v>10</v>
      </c>
      <c r="B16" s="300">
        <v>45323</v>
      </c>
      <c r="C16" s="363">
        <v>300.17</v>
      </c>
      <c r="E16" s="301">
        <v>225578</v>
      </c>
      <c r="F16" s="301"/>
      <c r="G16" s="302"/>
    </row>
    <row r="17" spans="1:7" x14ac:dyDescent="0.25">
      <c r="A17" s="299">
        <v>11</v>
      </c>
      <c r="B17" s="300">
        <v>45352</v>
      </c>
      <c r="C17" s="363">
        <v>289.44</v>
      </c>
      <c r="E17" s="301">
        <v>180218</v>
      </c>
      <c r="F17" s="301">
        <v>182712</v>
      </c>
      <c r="G17" s="302"/>
    </row>
    <row r="18" spans="1:7" x14ac:dyDescent="0.25">
      <c r="A18" s="299">
        <v>12</v>
      </c>
      <c r="B18" s="300">
        <v>45383</v>
      </c>
      <c r="C18" s="363">
        <v>265.64</v>
      </c>
      <c r="E18" s="302"/>
      <c r="F18" s="302"/>
      <c r="G18" s="302"/>
    </row>
    <row r="19" spans="1:7" x14ac:dyDescent="0.25">
      <c r="A19" s="299"/>
      <c r="B19" s="299"/>
      <c r="C19" s="299"/>
    </row>
    <row r="20" spans="1:7" x14ac:dyDescent="0.25">
      <c r="A20" s="443" t="s">
        <v>353</v>
      </c>
      <c r="B20" s="445"/>
      <c r="C20" s="304">
        <f>SUM(C7:C19)</f>
        <v>3631.58</v>
      </c>
    </row>
    <row r="21" spans="1:7" x14ac:dyDescent="0.25">
      <c r="A21" s="305" t="s">
        <v>354</v>
      </c>
      <c r="B21" s="297"/>
      <c r="C21" s="306">
        <v>12</v>
      </c>
    </row>
    <row r="22" spans="1:7" x14ac:dyDescent="0.25">
      <c r="A22" s="305" t="s">
        <v>355</v>
      </c>
      <c r="B22" s="297"/>
      <c r="C22" s="307">
        <f>C20/C21</f>
        <v>302.63166666666666</v>
      </c>
    </row>
    <row r="24" spans="1:7" x14ac:dyDescent="0.25">
      <c r="C24" s="303"/>
      <c r="E24" s="308"/>
    </row>
    <row r="25" spans="1:7" x14ac:dyDescent="0.25">
      <c r="C25" s="303"/>
    </row>
  </sheetData>
  <mergeCells count="2">
    <mergeCell ref="A5:C5"/>
    <mergeCell ref="A20:B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topLeftCell="G11" workbookViewId="0">
      <selection activeCell="A3" sqref="A3:AB39"/>
    </sheetView>
  </sheetViews>
  <sheetFormatPr defaultColWidth="8.85546875" defaultRowHeight="15" x14ac:dyDescent="0.25"/>
  <cols>
    <col min="1" max="1" width="17.28515625" style="314" customWidth="1"/>
    <col min="2" max="2" width="15.140625" style="314" customWidth="1"/>
    <col min="3" max="3" width="8.140625" style="314" customWidth="1"/>
    <col min="4" max="4" width="7.5703125" style="314" customWidth="1"/>
    <col min="5" max="5" width="12.28515625" style="314" customWidth="1"/>
    <col min="6" max="6" width="8.42578125" style="314" customWidth="1"/>
    <col min="7" max="7" width="6.140625" style="314" customWidth="1"/>
    <col min="8" max="8" width="17.28515625" style="314" customWidth="1"/>
    <col min="9" max="9" width="15.5703125" style="314" customWidth="1"/>
    <col min="10" max="10" width="7.85546875" style="314" customWidth="1"/>
    <col min="11" max="11" width="7.140625" style="314" customWidth="1"/>
    <col min="12" max="12" width="12.5703125" style="314" customWidth="1"/>
    <col min="13" max="13" width="7.7109375" style="314" customWidth="1"/>
    <col min="14" max="14" width="5.5703125" style="314" customWidth="1"/>
    <col min="15" max="15" width="16.42578125" style="314" customWidth="1"/>
    <col min="16" max="16" width="13.85546875" style="314" customWidth="1"/>
    <col min="17" max="17" width="8" style="314" customWidth="1"/>
    <col min="18" max="18" width="7.140625" style="314" customWidth="1"/>
    <col min="19" max="19" width="12.140625" style="314" customWidth="1"/>
    <col min="20" max="20" width="8" style="314" customWidth="1"/>
    <col min="21" max="21" width="7.140625" style="332" customWidth="1"/>
    <col min="22" max="22" width="13" style="314" customWidth="1"/>
    <col min="23" max="23" width="10.28515625" style="314" customWidth="1"/>
    <col min="24" max="24" width="26.28515625" style="314" customWidth="1"/>
    <col min="25" max="25" width="7.85546875" style="314" customWidth="1"/>
    <col min="26" max="26" width="6.85546875" style="314" customWidth="1"/>
    <col min="27" max="27" width="16.42578125" style="314" customWidth="1"/>
    <col min="28" max="28" width="7.28515625" style="314" customWidth="1"/>
    <col min="29" max="29" width="19.85546875" style="314" customWidth="1"/>
    <col min="30" max="30" width="0" style="314" hidden="1" customWidth="1"/>
    <col min="31" max="31" width="12.5703125" style="314" hidden="1" customWidth="1"/>
    <col min="32" max="32" width="0" hidden="1" customWidth="1"/>
    <col min="33" max="33" width="7.5703125" hidden="1" customWidth="1"/>
    <col min="34" max="34" width="8.7109375" hidden="1" customWidth="1"/>
    <col min="35" max="35" width="11" hidden="1" customWidth="1"/>
    <col min="36" max="36" width="10" hidden="1" customWidth="1"/>
    <col min="43" max="16384" width="8.85546875" style="314"/>
  </cols>
  <sheetData>
    <row r="1" spans="1:42" ht="15.75" customHeight="1" thickBot="1" x14ac:dyDescent="0.3">
      <c r="AF1" s="314"/>
      <c r="AG1" s="314"/>
      <c r="AH1" s="314"/>
      <c r="AI1" s="314"/>
      <c r="AJ1" s="314"/>
      <c r="AK1" s="314"/>
      <c r="AL1" s="314"/>
      <c r="AM1" s="314"/>
      <c r="AN1" s="314"/>
      <c r="AO1" s="314"/>
      <c r="AP1" s="314"/>
    </row>
    <row r="2" spans="1:42" ht="15.75" thickBot="1" x14ac:dyDescent="0.3">
      <c r="A2" s="457" t="s">
        <v>360</v>
      </c>
      <c r="B2" s="458"/>
      <c r="C2" s="458"/>
      <c r="D2" s="458"/>
      <c r="E2" s="458"/>
      <c r="F2" s="459"/>
      <c r="G2" s="315"/>
      <c r="H2" s="457" t="s">
        <v>361</v>
      </c>
      <c r="I2" s="458"/>
      <c r="J2" s="458"/>
      <c r="K2" s="458"/>
      <c r="L2" s="458"/>
      <c r="M2" s="459"/>
      <c r="N2" s="315"/>
      <c r="O2" s="457" t="s">
        <v>390</v>
      </c>
      <c r="P2" s="458"/>
      <c r="Q2" s="458"/>
      <c r="R2" s="458"/>
      <c r="S2" s="458"/>
      <c r="T2" s="459"/>
      <c r="U2" s="315"/>
      <c r="V2" s="471" t="s">
        <v>322</v>
      </c>
      <c r="W2" s="472"/>
      <c r="X2" s="472"/>
      <c r="Y2" s="472"/>
      <c r="Z2" s="472"/>
      <c r="AA2" s="472"/>
      <c r="AB2" s="473"/>
      <c r="AD2" s="474" t="s">
        <v>389</v>
      </c>
      <c r="AE2" s="475"/>
      <c r="AF2" s="475"/>
      <c r="AG2" s="475"/>
      <c r="AH2" s="475"/>
      <c r="AI2" s="475"/>
      <c r="AJ2" s="476"/>
    </row>
    <row r="3" spans="1:42" ht="15.75" customHeight="1" thickBot="1" x14ac:dyDescent="0.3">
      <c r="A3" s="457"/>
      <c r="B3" s="458"/>
      <c r="C3" s="458"/>
      <c r="D3" s="458"/>
      <c r="E3" s="458"/>
      <c r="F3" s="459"/>
      <c r="G3" s="315"/>
      <c r="H3" s="457"/>
      <c r="I3" s="458"/>
      <c r="J3" s="458"/>
      <c r="K3" s="458"/>
      <c r="L3" s="458"/>
      <c r="M3" s="459"/>
      <c r="N3" s="315"/>
      <c r="O3" s="457"/>
      <c r="P3" s="458"/>
      <c r="Q3" s="458"/>
      <c r="R3" s="458"/>
      <c r="S3" s="458"/>
      <c r="T3" s="459"/>
      <c r="U3" s="315"/>
      <c r="V3" s="477"/>
      <c r="W3" s="478"/>
      <c r="X3" s="478"/>
      <c r="Y3" s="478"/>
      <c r="Z3" s="478"/>
      <c r="AA3" s="478"/>
      <c r="AB3" s="479"/>
      <c r="AD3" s="480" t="s">
        <v>344</v>
      </c>
      <c r="AE3" s="481"/>
      <c r="AF3" s="481"/>
      <c r="AG3" s="481" t="s">
        <v>345</v>
      </c>
      <c r="AH3" s="481"/>
      <c r="AI3" s="316" t="s">
        <v>271</v>
      </c>
      <c r="AJ3" s="317" t="s">
        <v>63</v>
      </c>
    </row>
    <row r="4" spans="1:42" ht="15.75" customHeight="1" thickBot="1" x14ac:dyDescent="0.3">
      <c r="A4" s="466" t="s">
        <v>414</v>
      </c>
      <c r="B4" s="467"/>
      <c r="C4" s="467"/>
      <c r="D4" s="467"/>
      <c r="E4" s="467"/>
      <c r="F4" s="468"/>
      <c r="G4" s="315"/>
      <c r="H4" s="466" t="s">
        <v>413</v>
      </c>
      <c r="I4" s="467"/>
      <c r="J4" s="467"/>
      <c r="K4" s="467"/>
      <c r="L4" s="467"/>
      <c r="M4" s="468"/>
      <c r="N4" s="365"/>
      <c r="O4" s="466" t="s">
        <v>391</v>
      </c>
      <c r="P4" s="467"/>
      <c r="Q4" s="467"/>
      <c r="R4" s="467"/>
      <c r="S4" s="467"/>
      <c r="T4" s="468"/>
      <c r="U4" s="365"/>
      <c r="V4" s="482" t="s">
        <v>308</v>
      </c>
      <c r="W4" s="483"/>
      <c r="X4" s="483"/>
      <c r="Y4" s="483"/>
      <c r="Z4" s="483"/>
      <c r="AA4" s="483"/>
      <c r="AB4" s="484"/>
      <c r="AD4" s="485" t="s">
        <v>394</v>
      </c>
      <c r="AE4" s="486"/>
      <c r="AF4" s="486"/>
      <c r="AG4" s="497" t="s">
        <v>346</v>
      </c>
      <c r="AH4" s="497"/>
      <c r="AI4" s="272">
        <v>21.9</v>
      </c>
      <c r="AJ4" s="318" t="s">
        <v>18</v>
      </c>
    </row>
    <row r="5" spans="1:42" ht="15.75" customHeight="1" x14ac:dyDescent="0.25">
      <c r="A5" s="319" t="s">
        <v>292</v>
      </c>
      <c r="B5" s="313" t="s">
        <v>273</v>
      </c>
      <c r="C5" s="498" t="s">
        <v>274</v>
      </c>
      <c r="D5" s="499"/>
      <c r="E5" s="313" t="s">
        <v>271</v>
      </c>
      <c r="F5" s="320" t="s">
        <v>210</v>
      </c>
      <c r="G5" s="315"/>
      <c r="H5" s="319" t="s">
        <v>292</v>
      </c>
      <c r="I5" s="313" t="s">
        <v>273</v>
      </c>
      <c r="J5" s="498" t="s">
        <v>274</v>
      </c>
      <c r="K5" s="499"/>
      <c r="L5" s="313" t="s">
        <v>271</v>
      </c>
      <c r="M5" s="320" t="s">
        <v>210</v>
      </c>
      <c r="N5" s="108"/>
      <c r="O5" s="319" t="s">
        <v>292</v>
      </c>
      <c r="P5" s="313" t="s">
        <v>273</v>
      </c>
      <c r="Q5" s="469" t="s">
        <v>274</v>
      </c>
      <c r="R5" s="469"/>
      <c r="S5" s="313" t="s">
        <v>271</v>
      </c>
      <c r="T5" s="320" t="s">
        <v>210</v>
      </c>
      <c r="U5" s="108"/>
      <c r="V5" s="500" t="s">
        <v>309</v>
      </c>
      <c r="W5" s="502" t="s">
        <v>362</v>
      </c>
      <c r="X5" s="504" t="s">
        <v>291</v>
      </c>
      <c r="Y5" s="504" t="s">
        <v>363</v>
      </c>
      <c r="Z5" s="504"/>
      <c r="AA5" s="504" t="s">
        <v>364</v>
      </c>
      <c r="AB5" s="506" t="s">
        <v>272</v>
      </c>
      <c r="AD5" s="485"/>
      <c r="AE5" s="486"/>
      <c r="AF5" s="486"/>
      <c r="AG5" s="497" t="s">
        <v>347</v>
      </c>
      <c r="AH5" s="497"/>
      <c r="AI5" s="272">
        <v>21.9</v>
      </c>
      <c r="AJ5" s="318" t="s">
        <v>18</v>
      </c>
    </row>
    <row r="6" spans="1:42" ht="15.75" thickBot="1" x14ac:dyDescent="0.3">
      <c r="A6" s="321" t="s">
        <v>276</v>
      </c>
      <c r="B6" s="271"/>
      <c r="C6" s="490" t="s">
        <v>277</v>
      </c>
      <c r="D6" s="491"/>
      <c r="E6" s="322">
        <v>3514.7</v>
      </c>
      <c r="F6" s="318" t="s">
        <v>275</v>
      </c>
      <c r="G6" s="315"/>
      <c r="H6" s="321" t="s">
        <v>276</v>
      </c>
      <c r="I6" s="271"/>
      <c r="J6" s="490" t="s">
        <v>277</v>
      </c>
      <c r="K6" s="491"/>
      <c r="L6" s="322">
        <v>2853.4</v>
      </c>
      <c r="M6" s="318" t="s">
        <v>275</v>
      </c>
      <c r="N6"/>
      <c r="O6" s="321" t="s">
        <v>276</v>
      </c>
      <c r="P6" s="271"/>
      <c r="Q6" s="470" t="s">
        <v>277</v>
      </c>
      <c r="R6" s="470"/>
      <c r="S6" s="322">
        <v>8.2200000000000006</v>
      </c>
      <c r="T6" s="318" t="s">
        <v>18</v>
      </c>
      <c r="U6" s="108"/>
      <c r="V6" s="501"/>
      <c r="W6" s="503"/>
      <c r="X6" s="486"/>
      <c r="Y6" s="505"/>
      <c r="Z6" s="505"/>
      <c r="AA6" s="486"/>
      <c r="AB6" s="507"/>
      <c r="AD6" s="508" t="s">
        <v>348</v>
      </c>
      <c r="AE6" s="509"/>
      <c r="AF6" s="509"/>
      <c r="AG6" s="509"/>
      <c r="AH6" s="509"/>
      <c r="AI6" s="323">
        <f>SUM(AI4:AI5)</f>
        <v>43.8</v>
      </c>
      <c r="AJ6" s="324" t="s">
        <v>18</v>
      </c>
    </row>
    <row r="7" spans="1:42" ht="15.75" thickBot="1" x14ac:dyDescent="0.3">
      <c r="A7" s="321" t="s">
        <v>278</v>
      </c>
      <c r="B7" s="271"/>
      <c r="C7" s="490" t="s">
        <v>279</v>
      </c>
      <c r="D7" s="491"/>
      <c r="E7" s="322">
        <v>2021.4</v>
      </c>
      <c r="F7" s="318" t="s">
        <v>275</v>
      </c>
      <c r="G7" s="108"/>
      <c r="H7" s="321" t="s">
        <v>278</v>
      </c>
      <c r="I7" s="271"/>
      <c r="J7" s="490" t="s">
        <v>279</v>
      </c>
      <c r="K7" s="491"/>
      <c r="L7" s="322">
        <v>3279.1</v>
      </c>
      <c r="M7" s="318" t="s">
        <v>275</v>
      </c>
      <c r="N7"/>
      <c r="O7" s="321" t="s">
        <v>278</v>
      </c>
      <c r="P7" s="271"/>
      <c r="Q7" s="470" t="s">
        <v>279</v>
      </c>
      <c r="R7" s="470"/>
      <c r="S7" s="322">
        <v>4.33</v>
      </c>
      <c r="T7" s="318" t="s">
        <v>18</v>
      </c>
      <c r="U7" s="108"/>
      <c r="V7" s="368" t="s">
        <v>310</v>
      </c>
      <c r="W7" s="369" t="s">
        <v>324</v>
      </c>
      <c r="X7" s="381" t="s">
        <v>430</v>
      </c>
      <c r="Y7" s="371">
        <v>3</v>
      </c>
      <c r="Z7" s="372" t="s">
        <v>293</v>
      </c>
      <c r="AA7" s="370">
        <f>E29</f>
        <v>95.276199999999989</v>
      </c>
      <c r="AB7" s="373" t="s">
        <v>18</v>
      </c>
      <c r="AC7" s="332"/>
      <c r="AD7" s="487"/>
      <c r="AE7" s="488"/>
      <c r="AF7" s="488"/>
      <c r="AG7" s="488"/>
      <c r="AH7" s="488"/>
      <c r="AI7" s="488"/>
      <c r="AJ7" s="489"/>
    </row>
    <row r="8" spans="1:42" ht="15.75" thickBot="1" x14ac:dyDescent="0.3">
      <c r="A8" s="321" t="s">
        <v>280</v>
      </c>
      <c r="B8" s="271"/>
      <c r="C8" s="490" t="s">
        <v>281</v>
      </c>
      <c r="D8" s="491"/>
      <c r="E8" s="322">
        <v>6921.7</v>
      </c>
      <c r="F8" s="318" t="s">
        <v>275</v>
      </c>
      <c r="G8"/>
      <c r="H8" s="321" t="s">
        <v>280</v>
      </c>
      <c r="I8" s="271"/>
      <c r="J8" s="490" t="s">
        <v>281</v>
      </c>
      <c r="K8" s="491"/>
      <c r="L8" s="322">
        <v>6016.6</v>
      </c>
      <c r="M8" s="318" t="s">
        <v>275</v>
      </c>
      <c r="N8"/>
      <c r="O8" s="321" t="s">
        <v>280</v>
      </c>
      <c r="P8" s="271"/>
      <c r="Q8" s="470" t="s">
        <v>281</v>
      </c>
      <c r="R8" s="470"/>
      <c r="S8" s="322">
        <v>3.1</v>
      </c>
      <c r="T8" s="318" t="s">
        <v>18</v>
      </c>
      <c r="U8" s="108"/>
      <c r="V8" s="380" t="s">
        <v>412</v>
      </c>
      <c r="W8" s="369" t="s">
        <v>324</v>
      </c>
      <c r="X8" s="381" t="s">
        <v>415</v>
      </c>
      <c r="Y8" s="371">
        <v>1</v>
      </c>
      <c r="Z8" s="372" t="s">
        <v>293</v>
      </c>
      <c r="AA8" s="370">
        <f>E38</f>
        <v>104.4276</v>
      </c>
      <c r="AB8" s="373" t="s">
        <v>18</v>
      </c>
      <c r="AC8" s="332"/>
      <c r="AD8" s="492" t="s">
        <v>349</v>
      </c>
      <c r="AE8" s="493"/>
      <c r="AF8" s="493"/>
      <c r="AG8" s="493"/>
      <c r="AH8" s="493"/>
      <c r="AI8" s="333">
        <v>0</v>
      </c>
      <c r="AJ8" s="334" t="s">
        <v>10</v>
      </c>
    </row>
    <row r="9" spans="1:42" x14ac:dyDescent="0.25">
      <c r="A9" s="321" t="s">
        <v>282</v>
      </c>
      <c r="B9" s="271"/>
      <c r="C9" s="490" t="s">
        <v>283</v>
      </c>
      <c r="D9" s="491"/>
      <c r="E9" s="322">
        <v>5150.3</v>
      </c>
      <c r="F9" s="318" t="s">
        <v>275</v>
      </c>
      <c r="G9"/>
      <c r="H9" s="321" t="s">
        <v>282</v>
      </c>
      <c r="I9" s="271"/>
      <c r="J9" s="490" t="s">
        <v>283</v>
      </c>
      <c r="K9" s="491"/>
      <c r="L9" s="322">
        <v>5008.8999999999996</v>
      </c>
      <c r="M9" s="318" t="s">
        <v>275</v>
      </c>
      <c r="N9" s="346"/>
      <c r="O9" s="321" t="s">
        <v>282</v>
      </c>
      <c r="P9" s="271"/>
      <c r="Q9" s="470" t="s">
        <v>283</v>
      </c>
      <c r="R9" s="470"/>
      <c r="S9" s="322">
        <v>5.84</v>
      </c>
      <c r="T9" s="318" t="s">
        <v>18</v>
      </c>
      <c r="U9" s="108"/>
      <c r="V9" s="368" t="s">
        <v>456</v>
      </c>
      <c r="W9" s="369" t="s">
        <v>324</v>
      </c>
      <c r="X9" s="381" t="s">
        <v>455</v>
      </c>
      <c r="Y9" s="371">
        <v>1</v>
      </c>
      <c r="Z9" s="372" t="s">
        <v>293</v>
      </c>
      <c r="AA9" s="370">
        <f>(E27+E28)*2</f>
        <v>86</v>
      </c>
      <c r="AB9" s="373" t="s">
        <v>18</v>
      </c>
      <c r="AD9" s="510"/>
      <c r="AE9" s="511"/>
      <c r="AF9" s="511"/>
      <c r="AG9" s="511"/>
      <c r="AH9" s="511"/>
      <c r="AI9" s="511"/>
      <c r="AJ9" s="512"/>
    </row>
    <row r="10" spans="1:42" ht="15.75" customHeight="1" thickBot="1" x14ac:dyDescent="0.3">
      <c r="A10" s="321" t="s">
        <v>284</v>
      </c>
      <c r="B10" s="271"/>
      <c r="C10" s="490" t="s">
        <v>285</v>
      </c>
      <c r="D10" s="491"/>
      <c r="E10" s="322">
        <v>2884.6</v>
      </c>
      <c r="F10" s="318" t="s">
        <v>275</v>
      </c>
      <c r="G10"/>
      <c r="H10" s="321" t="s">
        <v>284</v>
      </c>
      <c r="I10" s="271"/>
      <c r="J10" s="490" t="s">
        <v>285</v>
      </c>
      <c r="K10" s="491"/>
      <c r="L10" s="322">
        <v>10215.1</v>
      </c>
      <c r="M10" s="318" t="s">
        <v>275</v>
      </c>
      <c r="N10"/>
      <c r="O10" s="321" t="s">
        <v>284</v>
      </c>
      <c r="P10" s="271"/>
      <c r="Q10" s="470" t="s">
        <v>285</v>
      </c>
      <c r="R10" s="470"/>
      <c r="S10" s="322">
        <v>10.7</v>
      </c>
      <c r="T10" s="318" t="s">
        <v>18</v>
      </c>
      <c r="U10" s="108"/>
      <c r="V10" s="325" t="s">
        <v>343</v>
      </c>
      <c r="W10" s="326" t="s">
        <v>324</v>
      </c>
      <c r="X10" s="402" t="s">
        <v>431</v>
      </c>
      <c r="Y10" s="328">
        <v>4</v>
      </c>
      <c r="Z10" s="329" t="s">
        <v>293</v>
      </c>
      <c r="AA10" s="330">
        <f>L28</f>
        <v>102.4195</v>
      </c>
      <c r="AB10" s="331" t="s">
        <v>18</v>
      </c>
      <c r="AD10" s="513" t="s">
        <v>350</v>
      </c>
      <c r="AE10" s="514"/>
      <c r="AF10" s="514"/>
      <c r="AG10" s="514"/>
      <c r="AH10" s="514"/>
      <c r="AI10" s="335">
        <f>AI6*AI8</f>
        <v>0</v>
      </c>
      <c r="AJ10" s="336" t="s">
        <v>294</v>
      </c>
    </row>
    <row r="11" spans="1:42" x14ac:dyDescent="0.25">
      <c r="A11" s="321" t="s">
        <v>286</v>
      </c>
      <c r="B11" s="271"/>
      <c r="C11" s="490" t="s">
        <v>287</v>
      </c>
      <c r="D11" s="491"/>
      <c r="E11" s="322">
        <v>7336.9</v>
      </c>
      <c r="F11" s="318" t="s">
        <v>275</v>
      </c>
      <c r="G11"/>
      <c r="H11" s="321" t="s">
        <v>286</v>
      </c>
      <c r="I11" s="271"/>
      <c r="J11" s="490" t="s">
        <v>287</v>
      </c>
      <c r="K11" s="491"/>
      <c r="L11" s="322">
        <v>12903.7</v>
      </c>
      <c r="M11" s="318" t="s">
        <v>275</v>
      </c>
      <c r="N11"/>
      <c r="O11" s="321" t="s">
        <v>286</v>
      </c>
      <c r="P11" s="271"/>
      <c r="Q11" s="470" t="s">
        <v>287</v>
      </c>
      <c r="R11" s="470"/>
      <c r="S11" s="322">
        <v>3.77</v>
      </c>
      <c r="T11" s="318" t="s">
        <v>18</v>
      </c>
      <c r="U11" s="108"/>
      <c r="V11" s="494"/>
      <c r="W11" s="495"/>
      <c r="X11" s="495"/>
      <c r="Y11" s="495"/>
      <c r="Z11" s="495"/>
      <c r="AA11" s="495"/>
      <c r="AB11" s="496"/>
      <c r="AD11" s="339"/>
      <c r="AE11" s="339"/>
      <c r="AF11" s="339"/>
      <c r="AG11" s="339"/>
      <c r="AH11" s="339"/>
      <c r="AI11" s="340"/>
      <c r="AJ11" s="341"/>
    </row>
    <row r="12" spans="1:42" x14ac:dyDescent="0.25">
      <c r="A12" s="321" t="s">
        <v>288</v>
      </c>
      <c r="B12" s="271"/>
      <c r="C12" s="490" t="s">
        <v>289</v>
      </c>
      <c r="D12" s="491"/>
      <c r="E12" s="322">
        <v>5528.2</v>
      </c>
      <c r="F12" s="318" t="s">
        <v>275</v>
      </c>
      <c r="G12"/>
      <c r="H12" s="321" t="s">
        <v>288</v>
      </c>
      <c r="I12" s="271"/>
      <c r="J12" s="490" t="s">
        <v>289</v>
      </c>
      <c r="K12" s="491"/>
      <c r="L12" s="322">
        <v>7982.3</v>
      </c>
      <c r="M12" s="318" t="s">
        <v>275</v>
      </c>
      <c r="N12"/>
      <c r="O12" s="321" t="s">
        <v>288</v>
      </c>
      <c r="P12" s="271"/>
      <c r="Q12" s="470" t="s">
        <v>289</v>
      </c>
      <c r="R12" s="470"/>
      <c r="S12" s="322">
        <v>5.0999999999999996</v>
      </c>
      <c r="T12" s="318" t="s">
        <v>18</v>
      </c>
      <c r="U12" s="108"/>
      <c r="V12" s="515" t="s">
        <v>365</v>
      </c>
      <c r="W12" s="516"/>
      <c r="X12" s="516"/>
      <c r="Y12" s="516"/>
      <c r="Z12" s="517"/>
      <c r="AA12" s="403">
        <f>(AA7*Y7)+(Y8*AA8)+(Y9*AA9)+(Y10*AA10)</f>
        <v>885.93419999999992</v>
      </c>
      <c r="AB12" s="338" t="s">
        <v>294</v>
      </c>
      <c r="AF12" s="314"/>
      <c r="AG12" s="314"/>
      <c r="AH12" s="314"/>
      <c r="AI12" s="314"/>
      <c r="AJ12" s="314"/>
    </row>
    <row r="13" spans="1:42" ht="15.75" customHeight="1" thickBot="1" x14ac:dyDescent="0.3">
      <c r="A13" s="321" t="s">
        <v>395</v>
      </c>
      <c r="B13" s="271"/>
      <c r="C13" s="490" t="s">
        <v>401</v>
      </c>
      <c r="D13" s="491"/>
      <c r="E13" s="322">
        <v>6149.6</v>
      </c>
      <c r="F13" s="318" t="s">
        <v>275</v>
      </c>
      <c r="G13"/>
      <c r="H13" s="321" t="s">
        <v>395</v>
      </c>
      <c r="I13" s="271"/>
      <c r="J13" s="490" t="s">
        <v>401</v>
      </c>
      <c r="K13" s="491"/>
      <c r="L13" s="322">
        <v>4713.3999999999996</v>
      </c>
      <c r="M13" s="318" t="s">
        <v>275</v>
      </c>
      <c r="N13" s="347"/>
      <c r="O13" s="321" t="s">
        <v>395</v>
      </c>
      <c r="P13" s="271"/>
      <c r="Q13" s="470" t="s">
        <v>401</v>
      </c>
      <c r="R13" s="470"/>
      <c r="S13" s="322">
        <v>4.53</v>
      </c>
      <c r="T13" s="318" t="s">
        <v>18</v>
      </c>
      <c r="U13" s="315"/>
      <c r="V13" s="518" t="s">
        <v>366</v>
      </c>
      <c r="W13" s="519"/>
      <c r="X13" s="519"/>
      <c r="Y13" s="519"/>
      <c r="Z13" s="520"/>
      <c r="AA13" s="404">
        <f>((AA12/7)*30)</f>
        <v>3796.8608571428567</v>
      </c>
      <c r="AB13" s="342" t="s">
        <v>294</v>
      </c>
      <c r="AC13" s="345"/>
      <c r="AF13" s="314"/>
      <c r="AG13" s="314"/>
      <c r="AH13" s="314"/>
      <c r="AI13" s="314"/>
      <c r="AJ13" s="314"/>
      <c r="AK13" s="346"/>
    </row>
    <row r="14" spans="1:42" ht="15.75" customHeight="1" thickBot="1" x14ac:dyDescent="0.3">
      <c r="A14" s="321" t="s">
        <v>396</v>
      </c>
      <c r="B14" s="271"/>
      <c r="C14" s="490" t="s">
        <v>402</v>
      </c>
      <c r="D14" s="491"/>
      <c r="E14" s="322">
        <v>7268.8</v>
      </c>
      <c r="F14" s="318" t="s">
        <v>275</v>
      </c>
      <c r="G14"/>
      <c r="H14" s="321" t="s">
        <v>396</v>
      </c>
      <c r="I14" s="271"/>
      <c r="J14" s="490" t="s">
        <v>402</v>
      </c>
      <c r="K14" s="491"/>
      <c r="L14" s="322">
        <v>2947</v>
      </c>
      <c r="M14" s="318" t="s">
        <v>275</v>
      </c>
      <c r="N14" s="332"/>
      <c r="O14" s="321" t="s">
        <v>396</v>
      </c>
      <c r="P14" s="271"/>
      <c r="Q14" s="470" t="s">
        <v>402</v>
      </c>
      <c r="R14" s="470"/>
      <c r="S14" s="322">
        <v>9.59</v>
      </c>
      <c r="T14" s="318" t="s">
        <v>18</v>
      </c>
      <c r="V14" s="521"/>
      <c r="W14" s="522"/>
      <c r="X14" s="522"/>
      <c r="Y14" s="522"/>
      <c r="Z14" s="522"/>
      <c r="AA14" s="522"/>
      <c r="AB14" s="523"/>
      <c r="AF14" s="314"/>
      <c r="AG14" s="314"/>
      <c r="AH14" s="314"/>
      <c r="AI14" s="314"/>
      <c r="AJ14" s="314"/>
    </row>
    <row r="15" spans="1:42" ht="15.75" customHeight="1" thickBot="1" x14ac:dyDescent="0.3">
      <c r="A15" s="449" t="s">
        <v>290</v>
      </c>
      <c r="B15" s="450"/>
      <c r="C15" s="450"/>
      <c r="D15" s="450"/>
      <c r="E15" s="343">
        <f>(E6+E7+E8+E9+E10+E11+E12+E13+E14)/1000</f>
        <v>46.776199999999996</v>
      </c>
      <c r="F15" s="344" t="s">
        <v>18</v>
      </c>
      <c r="G15" s="347"/>
      <c r="H15" s="449" t="s">
        <v>290</v>
      </c>
      <c r="I15" s="450"/>
      <c r="J15" s="450"/>
      <c r="K15" s="450"/>
      <c r="L15" s="343">
        <f>(L6+L7+L8+L9+L10+L11+L12+L13+L14)/1000</f>
        <v>55.919500000000006</v>
      </c>
      <c r="M15" s="344" t="s">
        <v>18</v>
      </c>
      <c r="N15" s="348"/>
      <c r="O15" s="321" t="s">
        <v>397</v>
      </c>
      <c r="P15" s="271"/>
      <c r="Q15" s="470" t="s">
        <v>403</v>
      </c>
      <c r="R15" s="470"/>
      <c r="S15" s="322">
        <v>5.87</v>
      </c>
      <c r="T15" s="318" t="s">
        <v>18</v>
      </c>
      <c r="U15" s="348"/>
      <c r="V15" s="524"/>
      <c r="W15" s="525"/>
      <c r="X15" s="525"/>
      <c r="Y15" s="525"/>
      <c r="Z15" s="525"/>
      <c r="AA15" s="525"/>
      <c r="AB15" s="526"/>
      <c r="AE15" s="351"/>
      <c r="AF15" s="314"/>
      <c r="AG15" s="314"/>
      <c r="AH15" s="314"/>
      <c r="AI15" s="314"/>
      <c r="AJ15" s="314"/>
    </row>
    <row r="16" spans="1:42" ht="15" customHeight="1" thickBot="1" x14ac:dyDescent="0.3">
      <c r="A16" s="321" t="s">
        <v>407</v>
      </c>
      <c r="B16" s="271"/>
      <c r="C16" s="490" t="s">
        <v>281</v>
      </c>
      <c r="D16" s="491"/>
      <c r="E16" s="322">
        <v>2207.8000000000002</v>
      </c>
      <c r="F16" s="318" t="s">
        <v>275</v>
      </c>
      <c r="H16" s="321" t="s">
        <v>407</v>
      </c>
      <c r="I16" s="271"/>
      <c r="J16" s="490" t="s">
        <v>287</v>
      </c>
      <c r="K16" s="491"/>
      <c r="L16" s="322">
        <v>15207.8</v>
      </c>
      <c r="M16" s="318" t="s">
        <v>275</v>
      </c>
      <c r="N16" s="108"/>
      <c r="O16" s="321" t="s">
        <v>398</v>
      </c>
      <c r="P16" s="271"/>
      <c r="Q16" s="470" t="s">
        <v>404</v>
      </c>
      <c r="R16" s="470"/>
      <c r="S16" s="322">
        <v>7.1</v>
      </c>
      <c r="T16" s="318" t="s">
        <v>18</v>
      </c>
      <c r="U16" s="108"/>
      <c r="V16" s="540" t="s">
        <v>368</v>
      </c>
      <c r="W16" s="541"/>
      <c r="X16" s="542"/>
      <c r="Y16" s="542"/>
      <c r="Z16" s="542"/>
      <c r="AA16" s="542"/>
      <c r="AB16" s="543"/>
      <c r="AF16" s="314"/>
      <c r="AG16" s="314"/>
      <c r="AH16" s="314"/>
      <c r="AI16" s="314"/>
      <c r="AJ16" s="314"/>
    </row>
    <row r="17" spans="1:36" ht="15.75" customHeight="1" thickBot="1" x14ac:dyDescent="0.3">
      <c r="A17" s="321" t="s">
        <v>408</v>
      </c>
      <c r="B17" s="271"/>
      <c r="C17" s="490" t="s">
        <v>401</v>
      </c>
      <c r="D17" s="491"/>
      <c r="E17" s="322">
        <v>4210.8</v>
      </c>
      <c r="F17" s="318" t="s">
        <v>275</v>
      </c>
      <c r="G17" s="348"/>
      <c r="H17" s="321" t="s">
        <v>408</v>
      </c>
      <c r="I17" s="271"/>
      <c r="J17" s="490" t="s">
        <v>287</v>
      </c>
      <c r="K17" s="491"/>
      <c r="L17" s="322">
        <f>4096.8*2</f>
        <v>8193.6</v>
      </c>
      <c r="M17" s="318" t="s">
        <v>275</v>
      </c>
      <c r="N17" s="315"/>
      <c r="O17" s="321" t="s">
        <v>399</v>
      </c>
      <c r="P17" s="271"/>
      <c r="Q17" s="470" t="s">
        <v>405</v>
      </c>
      <c r="R17" s="470"/>
      <c r="S17" s="322">
        <v>11.1</v>
      </c>
      <c r="T17" s="318" t="s">
        <v>18</v>
      </c>
      <c r="U17" s="315"/>
      <c r="V17" s="544" t="s">
        <v>309</v>
      </c>
      <c r="W17" s="502" t="s">
        <v>362</v>
      </c>
      <c r="X17" s="538" t="s">
        <v>291</v>
      </c>
      <c r="Y17" s="538" t="s">
        <v>363</v>
      </c>
      <c r="Z17" s="538"/>
      <c r="AA17" s="538" t="s">
        <v>364</v>
      </c>
      <c r="AB17" s="537" t="s">
        <v>272</v>
      </c>
      <c r="AF17" s="314"/>
      <c r="AG17" s="314"/>
      <c r="AH17" s="314"/>
      <c r="AI17" s="314"/>
      <c r="AJ17" s="314"/>
    </row>
    <row r="18" spans="1:36" ht="15.75" customHeight="1" thickBot="1" x14ac:dyDescent="0.3">
      <c r="A18" s="321" t="s">
        <v>409</v>
      </c>
      <c r="B18" s="271"/>
      <c r="C18" s="490" t="s">
        <v>401</v>
      </c>
      <c r="D18" s="491"/>
      <c r="E18" s="322">
        <v>2732.8</v>
      </c>
      <c r="F18" s="318" t="s">
        <v>275</v>
      </c>
      <c r="G18" s="108"/>
      <c r="H18" s="449" t="s">
        <v>410</v>
      </c>
      <c r="I18" s="450"/>
      <c r="J18" s="450"/>
      <c r="K18" s="450"/>
      <c r="L18" s="343">
        <f>L15+((L16+L17)/1000)</f>
        <v>79.320900000000009</v>
      </c>
      <c r="M18" s="344" t="s">
        <v>18</v>
      </c>
      <c r="N18" s="315"/>
      <c r="O18" s="376" t="s">
        <v>400</v>
      </c>
      <c r="P18" s="377"/>
      <c r="Q18" s="539" t="s">
        <v>406</v>
      </c>
      <c r="R18" s="539"/>
      <c r="S18" s="378">
        <v>12.5</v>
      </c>
      <c r="T18" s="379" t="s">
        <v>18</v>
      </c>
      <c r="U18" s="315"/>
      <c r="V18" s="501"/>
      <c r="W18" s="503"/>
      <c r="X18" s="486"/>
      <c r="Y18" s="505"/>
      <c r="Z18" s="505"/>
      <c r="AA18" s="486"/>
      <c r="AB18" s="507"/>
      <c r="AF18" s="314"/>
      <c r="AG18" s="314"/>
      <c r="AH18" s="314"/>
      <c r="AI18" s="314"/>
      <c r="AJ18" s="314"/>
    </row>
    <row r="19" spans="1:36" ht="15.75" customHeight="1" thickBot="1" x14ac:dyDescent="0.3">
      <c r="A19" s="449" t="s">
        <v>410</v>
      </c>
      <c r="B19" s="450"/>
      <c r="C19" s="450"/>
      <c r="D19" s="450"/>
      <c r="E19" s="343">
        <f>((E16+E17+E18)/1000)+E15</f>
        <v>55.927599999999998</v>
      </c>
      <c r="F19" s="344" t="s">
        <v>18</v>
      </c>
      <c r="G19" s="315"/>
      <c r="H19" s="446"/>
      <c r="I19" s="447"/>
      <c r="J19" s="447"/>
      <c r="K19" s="447"/>
      <c r="L19" s="447"/>
      <c r="M19" s="448"/>
      <c r="N19" s="352"/>
      <c r="O19" s="535" t="s">
        <v>290</v>
      </c>
      <c r="P19" s="536"/>
      <c r="Q19" s="536"/>
      <c r="R19" s="536"/>
      <c r="S19" s="374">
        <f>SUM(S6:S18)</f>
        <v>91.75</v>
      </c>
      <c r="T19" s="375" t="s">
        <v>18</v>
      </c>
      <c r="U19" s="108"/>
      <c r="V19" s="349" t="s">
        <v>310</v>
      </c>
      <c r="W19" s="326" t="s">
        <v>325</v>
      </c>
      <c r="X19" s="381" t="s">
        <v>433</v>
      </c>
      <c r="Y19" s="328">
        <v>1</v>
      </c>
      <c r="Z19" s="329" t="s">
        <v>293</v>
      </c>
      <c r="AA19" s="330">
        <f>E29</f>
        <v>95.276199999999989</v>
      </c>
      <c r="AB19" s="331" t="s">
        <v>18</v>
      </c>
      <c r="AE19" s="351"/>
      <c r="AF19" s="314"/>
      <c r="AG19" s="314"/>
      <c r="AH19" s="314"/>
      <c r="AI19" s="314"/>
      <c r="AJ19" s="314"/>
    </row>
    <row r="20" spans="1:36" ht="15.75" thickBot="1" x14ac:dyDescent="0.3">
      <c r="A20" s="446"/>
      <c r="B20" s="447"/>
      <c r="C20" s="447"/>
      <c r="D20" s="447"/>
      <c r="E20" s="447"/>
      <c r="F20" s="448"/>
      <c r="G20" s="315"/>
      <c r="H20" s="527" t="s">
        <v>367</v>
      </c>
      <c r="I20" s="528"/>
      <c r="J20" s="528"/>
      <c r="K20" s="528"/>
      <c r="L20" s="528"/>
      <c r="M20" s="529"/>
      <c r="N20" s="352"/>
      <c r="O20" s="446"/>
      <c r="P20" s="447"/>
      <c r="Q20" s="447"/>
      <c r="R20" s="447"/>
      <c r="S20" s="447"/>
      <c r="T20" s="448"/>
      <c r="U20" s="108"/>
      <c r="V20" s="380" t="s">
        <v>412</v>
      </c>
      <c r="W20" s="326" t="s">
        <v>325</v>
      </c>
      <c r="X20" s="381" t="s">
        <v>434</v>
      </c>
      <c r="Y20" s="328">
        <v>1</v>
      </c>
      <c r="Z20" s="329" t="s">
        <v>293</v>
      </c>
      <c r="AA20" s="330">
        <f>E38</f>
        <v>104.4276</v>
      </c>
      <c r="AB20" s="331" t="s">
        <v>18</v>
      </c>
      <c r="AF20" s="314"/>
      <c r="AG20" s="314"/>
      <c r="AH20" s="314"/>
      <c r="AI20" s="314"/>
      <c r="AJ20" s="314"/>
    </row>
    <row r="21" spans="1:36" ht="15" customHeight="1" thickBot="1" x14ac:dyDescent="0.3">
      <c r="A21" s="527" t="s">
        <v>367</v>
      </c>
      <c r="B21" s="528"/>
      <c r="C21" s="528"/>
      <c r="D21" s="528"/>
      <c r="E21" s="528"/>
      <c r="F21" s="529"/>
      <c r="G21" s="352"/>
      <c r="H21" s="530"/>
      <c r="I21" s="531"/>
      <c r="J21" s="531"/>
      <c r="K21" s="531"/>
      <c r="L21" s="531"/>
      <c r="M21" s="532"/>
      <c r="N21" s="352"/>
      <c r="O21" s="527" t="s">
        <v>367</v>
      </c>
      <c r="P21" s="528"/>
      <c r="Q21" s="528"/>
      <c r="R21" s="528"/>
      <c r="S21" s="528"/>
      <c r="T21" s="529"/>
      <c r="U21" s="108"/>
      <c r="V21" s="349" t="s">
        <v>343</v>
      </c>
      <c r="W21" s="326" t="s">
        <v>325</v>
      </c>
      <c r="X21" s="381" t="s">
        <v>433</v>
      </c>
      <c r="Y21" s="384">
        <v>1</v>
      </c>
      <c r="Z21" s="385" t="s">
        <v>293</v>
      </c>
      <c r="AA21" s="330">
        <f>L28</f>
        <v>102.4195</v>
      </c>
      <c r="AB21" s="331" t="s">
        <v>18</v>
      </c>
      <c r="AF21" s="314"/>
      <c r="AG21" s="314"/>
      <c r="AH21" s="314"/>
      <c r="AI21" s="314"/>
      <c r="AJ21" s="314"/>
    </row>
    <row r="22" spans="1:36" ht="15.75" thickBot="1" x14ac:dyDescent="0.3">
      <c r="A22" s="530"/>
      <c r="B22" s="531"/>
      <c r="C22" s="531"/>
      <c r="D22" s="531"/>
      <c r="E22" s="531"/>
      <c r="F22" s="532"/>
      <c r="G22" s="352"/>
      <c r="H22" s="457" t="s">
        <v>459</v>
      </c>
      <c r="I22" s="458"/>
      <c r="J22" s="458"/>
      <c r="K22" s="458"/>
      <c r="L22" s="458"/>
      <c r="M22" s="459"/>
      <c r="N22" s="352"/>
      <c r="O22" s="530"/>
      <c r="P22" s="531"/>
      <c r="Q22" s="531"/>
      <c r="R22" s="531"/>
      <c r="S22" s="531"/>
      <c r="T22" s="532"/>
      <c r="U22" s="108"/>
      <c r="V22" s="380" t="s">
        <v>416</v>
      </c>
      <c r="W22" s="326" t="s">
        <v>325</v>
      </c>
      <c r="X22" s="381" t="s">
        <v>434</v>
      </c>
      <c r="Y22" s="386">
        <v>1</v>
      </c>
      <c r="Z22" s="387" t="s">
        <v>293</v>
      </c>
      <c r="AA22" s="383">
        <f>L37</f>
        <v>126.7209</v>
      </c>
      <c r="AB22" s="373" t="s">
        <v>18</v>
      </c>
    </row>
    <row r="23" spans="1:36" ht="15.75" thickBot="1" x14ac:dyDescent="0.3">
      <c r="A23" s="457" t="s">
        <v>459</v>
      </c>
      <c r="B23" s="458"/>
      <c r="C23" s="458"/>
      <c r="D23" s="458"/>
      <c r="E23" s="458"/>
      <c r="F23" s="459"/>
      <c r="G23" s="352"/>
      <c r="H23" s="454" t="s">
        <v>343</v>
      </c>
      <c r="I23" s="455"/>
      <c r="J23" s="455"/>
      <c r="K23" s="455"/>
      <c r="L23" s="455"/>
      <c r="M23" s="456"/>
      <c r="N23" s="357"/>
      <c r="O23" s="457" t="s">
        <v>379</v>
      </c>
      <c r="P23" s="458"/>
      <c r="Q23" s="458"/>
      <c r="R23" s="458"/>
      <c r="S23" s="458"/>
      <c r="T23" s="459"/>
      <c r="U23" s="315"/>
      <c r="V23" s="349" t="s">
        <v>378</v>
      </c>
      <c r="W23" s="326" t="s">
        <v>393</v>
      </c>
      <c r="X23" s="327" t="s">
        <v>435</v>
      </c>
      <c r="Y23" s="382">
        <f>1/30*7</f>
        <v>0.23333333333333334</v>
      </c>
      <c r="Z23" s="329" t="s">
        <v>293</v>
      </c>
      <c r="AA23" s="330">
        <f>S29</f>
        <v>142.65</v>
      </c>
      <c r="AB23" s="331" t="s">
        <v>18</v>
      </c>
    </row>
    <row r="24" spans="1:36" x14ac:dyDescent="0.25">
      <c r="A24" s="454" t="s">
        <v>310</v>
      </c>
      <c r="B24" s="455"/>
      <c r="C24" s="455"/>
      <c r="D24" s="455"/>
      <c r="E24" s="455"/>
      <c r="F24" s="456"/>
      <c r="G24" s="357"/>
      <c r="H24" s="463" t="s">
        <v>369</v>
      </c>
      <c r="I24" s="464"/>
      <c r="J24" s="464"/>
      <c r="K24" s="465"/>
      <c r="L24" s="293">
        <f>0.6+4</f>
        <v>4.5999999999999996</v>
      </c>
      <c r="M24" s="350" t="s">
        <v>18</v>
      </c>
      <c r="O24" s="454" t="s">
        <v>378</v>
      </c>
      <c r="P24" s="455"/>
      <c r="Q24" s="455"/>
      <c r="R24" s="455"/>
      <c r="S24" s="455"/>
      <c r="T24" s="456"/>
      <c r="U24" s="366"/>
      <c r="V24" s="380" t="s">
        <v>412</v>
      </c>
      <c r="W24" s="326" t="s">
        <v>437</v>
      </c>
      <c r="X24" s="327" t="s">
        <v>436</v>
      </c>
      <c r="Y24" s="382">
        <f>1/30*7</f>
        <v>0.23333333333333334</v>
      </c>
      <c r="Z24" s="329" t="s">
        <v>293</v>
      </c>
      <c r="AA24" s="330">
        <f>E38</f>
        <v>104.4276</v>
      </c>
      <c r="AB24" s="331" t="s">
        <v>18</v>
      </c>
    </row>
    <row r="25" spans="1:36" ht="15.75" customHeight="1" x14ac:dyDescent="0.25">
      <c r="A25" s="463" t="s">
        <v>429</v>
      </c>
      <c r="B25" s="464"/>
      <c r="C25" s="464"/>
      <c r="D25" s="465"/>
      <c r="E25" s="293">
        <f>1.5+4</f>
        <v>5.5</v>
      </c>
      <c r="F25" s="350" t="s">
        <v>18</v>
      </c>
      <c r="G25" s="358"/>
      <c r="H25" s="463" t="s">
        <v>370</v>
      </c>
      <c r="I25" s="533"/>
      <c r="J25" s="533"/>
      <c r="K25" s="534"/>
      <c r="L25" s="293">
        <f>L15</f>
        <v>55.919500000000006</v>
      </c>
      <c r="M25" s="350" t="s">
        <v>18</v>
      </c>
      <c r="O25" s="463" t="s">
        <v>369</v>
      </c>
      <c r="P25" s="464"/>
      <c r="Q25" s="464"/>
      <c r="R25" s="465"/>
      <c r="S25" s="293">
        <v>10.5</v>
      </c>
      <c r="T25" s="350" t="s">
        <v>18</v>
      </c>
      <c r="V25" s="380" t="s">
        <v>416</v>
      </c>
      <c r="W25" s="326" t="s">
        <v>437</v>
      </c>
      <c r="X25" s="327" t="s">
        <v>438</v>
      </c>
      <c r="Y25" s="382">
        <f>1/30*7</f>
        <v>0.23333333333333334</v>
      </c>
      <c r="Z25" s="329" t="s">
        <v>293</v>
      </c>
      <c r="AA25" s="330">
        <f>L37</f>
        <v>126.7209</v>
      </c>
      <c r="AB25" s="331" t="s">
        <v>18</v>
      </c>
      <c r="AD25" s="359"/>
    </row>
    <row r="26" spans="1:36" x14ac:dyDescent="0.25">
      <c r="A26" s="463" t="s">
        <v>370</v>
      </c>
      <c r="B26" s="533"/>
      <c r="C26" s="533"/>
      <c r="D26" s="534"/>
      <c r="E26" s="293">
        <f>E15</f>
        <v>46.776199999999996</v>
      </c>
      <c r="F26" s="350" t="s">
        <v>18</v>
      </c>
      <c r="H26" s="463" t="s">
        <v>460</v>
      </c>
      <c r="I26" s="533"/>
      <c r="J26" s="533"/>
      <c r="K26" s="534"/>
      <c r="L26" s="293">
        <v>20.9</v>
      </c>
      <c r="M26" s="350" t="s">
        <v>18</v>
      </c>
      <c r="O26" s="463" t="s">
        <v>370</v>
      </c>
      <c r="P26" s="533"/>
      <c r="Q26" s="533"/>
      <c r="R26" s="534"/>
      <c r="S26" s="293">
        <f>S19</f>
        <v>91.75</v>
      </c>
      <c r="T26" s="350" t="s">
        <v>18</v>
      </c>
      <c r="V26" s="545"/>
      <c r="W26" s="546"/>
      <c r="X26" s="546"/>
      <c r="Y26" s="546"/>
      <c r="Z26" s="546"/>
      <c r="AA26" s="546"/>
      <c r="AB26" s="547"/>
    </row>
    <row r="27" spans="1:36" ht="15.75" customHeight="1" x14ac:dyDescent="0.25">
      <c r="A27" s="463" t="s">
        <v>460</v>
      </c>
      <c r="B27" s="533"/>
      <c r="C27" s="533"/>
      <c r="D27" s="534"/>
      <c r="E27" s="293">
        <v>22</v>
      </c>
      <c r="F27" s="350" t="s">
        <v>18</v>
      </c>
      <c r="H27" s="463" t="s">
        <v>461</v>
      </c>
      <c r="I27" s="533"/>
      <c r="J27" s="533"/>
      <c r="K27" s="534"/>
      <c r="L27" s="293">
        <v>21</v>
      </c>
      <c r="M27" s="350" t="s">
        <v>18</v>
      </c>
      <c r="O27" s="463" t="s">
        <v>371</v>
      </c>
      <c r="P27" s="533"/>
      <c r="Q27" s="533"/>
      <c r="R27" s="534"/>
      <c r="S27" s="293">
        <v>19.399999999999999</v>
      </c>
      <c r="T27" s="350" t="s">
        <v>18</v>
      </c>
      <c r="V27" s="515" t="s">
        <v>372</v>
      </c>
      <c r="W27" s="516"/>
      <c r="X27" s="516"/>
      <c r="Y27" s="516"/>
      <c r="Z27" s="517"/>
      <c r="AA27" s="337">
        <f>(Y19*AA19)+(Y20*AA20)+(Y21*AA21)+(Y22*AA22)+(Y24*AA24)+(Y23*AA23)+(Y25*AA25)</f>
        <v>516.06385</v>
      </c>
      <c r="AB27" s="338" t="s">
        <v>294</v>
      </c>
      <c r="AE27" s="351"/>
    </row>
    <row r="28" spans="1:36" ht="15.75" thickBot="1" x14ac:dyDescent="0.3">
      <c r="A28" s="463" t="s">
        <v>461</v>
      </c>
      <c r="B28" s="533"/>
      <c r="C28" s="533"/>
      <c r="D28" s="534"/>
      <c r="E28" s="293">
        <v>21</v>
      </c>
      <c r="F28" s="350" t="s">
        <v>18</v>
      </c>
      <c r="H28" s="460" t="s">
        <v>311</v>
      </c>
      <c r="I28" s="461"/>
      <c r="J28" s="461"/>
      <c r="K28" s="462"/>
      <c r="L28" s="353">
        <f>SUM(L24:L27)</f>
        <v>102.4195</v>
      </c>
      <c r="M28" s="354" t="s">
        <v>18</v>
      </c>
      <c r="O28" s="463" t="s">
        <v>380</v>
      </c>
      <c r="P28" s="533"/>
      <c r="Q28" s="533"/>
      <c r="R28" s="534"/>
      <c r="S28" s="293">
        <v>21</v>
      </c>
      <c r="T28" s="350" t="s">
        <v>18</v>
      </c>
      <c r="V28" s="518" t="s">
        <v>366</v>
      </c>
      <c r="W28" s="519"/>
      <c r="X28" s="519"/>
      <c r="Y28" s="519"/>
      <c r="Z28" s="520"/>
      <c r="AA28" s="355">
        <f>((AA27/7)*30)</f>
        <v>2211.702214285714</v>
      </c>
      <c r="AB28" s="356" t="s">
        <v>294</v>
      </c>
      <c r="AE28" s="359"/>
      <c r="AG28" s="360"/>
      <c r="AI28" s="346"/>
    </row>
    <row r="29" spans="1:36" ht="15.75" thickBot="1" x14ac:dyDescent="0.3">
      <c r="A29" s="460" t="s">
        <v>311</v>
      </c>
      <c r="B29" s="461"/>
      <c r="C29" s="461"/>
      <c r="D29" s="462"/>
      <c r="E29" s="353">
        <f>SUM(E25:E28)</f>
        <v>95.276199999999989</v>
      </c>
      <c r="F29" s="354" t="s">
        <v>18</v>
      </c>
      <c r="H29" s="446"/>
      <c r="I29" s="447"/>
      <c r="J29" s="447"/>
      <c r="K29" s="447"/>
      <c r="L29" s="447"/>
      <c r="M29" s="448"/>
      <c r="O29" s="460" t="s">
        <v>311</v>
      </c>
      <c r="P29" s="461"/>
      <c r="Q29" s="461"/>
      <c r="R29" s="462"/>
      <c r="S29" s="353">
        <f>SUM(S25:S28)</f>
        <v>142.65</v>
      </c>
      <c r="T29" s="354" t="s">
        <v>18</v>
      </c>
      <c r="AE29" s="351"/>
    </row>
    <row r="30" spans="1:36" ht="15.75" thickBot="1" x14ac:dyDescent="0.3">
      <c r="A30" s="446"/>
      <c r="B30" s="447"/>
      <c r="C30" s="447"/>
      <c r="D30" s="447"/>
      <c r="E30" s="447"/>
      <c r="F30" s="448"/>
      <c r="H30" s="451" t="s">
        <v>411</v>
      </c>
      <c r="I30" s="452"/>
      <c r="J30" s="452"/>
      <c r="K30" s="452"/>
      <c r="L30" s="452"/>
      <c r="M30" s="453"/>
    </row>
    <row r="31" spans="1:36" ht="15.75" customHeight="1" thickBot="1" x14ac:dyDescent="0.3">
      <c r="A31" s="451" t="s">
        <v>411</v>
      </c>
      <c r="B31" s="452"/>
      <c r="C31" s="452"/>
      <c r="D31" s="452"/>
      <c r="E31" s="452"/>
      <c r="F31" s="453"/>
      <c r="H31" s="457" t="s">
        <v>462</v>
      </c>
      <c r="I31" s="458"/>
      <c r="J31" s="458"/>
      <c r="K31" s="458"/>
      <c r="L31" s="458"/>
      <c r="M31" s="459"/>
      <c r="AE31" s="359"/>
    </row>
    <row r="32" spans="1:36" ht="15.75" thickBot="1" x14ac:dyDescent="0.3">
      <c r="A32" s="457" t="s">
        <v>463</v>
      </c>
      <c r="B32" s="458"/>
      <c r="C32" s="458"/>
      <c r="D32" s="458"/>
      <c r="E32" s="458"/>
      <c r="F32" s="459"/>
      <c r="H32" s="454" t="s">
        <v>310</v>
      </c>
      <c r="I32" s="455"/>
      <c r="J32" s="455"/>
      <c r="K32" s="455"/>
      <c r="L32" s="455"/>
      <c r="M32" s="456"/>
      <c r="AB32" s="351"/>
    </row>
    <row r="33" spans="1:33" ht="15.75" customHeight="1" x14ac:dyDescent="0.25">
      <c r="A33" s="454" t="s">
        <v>310</v>
      </c>
      <c r="B33" s="455"/>
      <c r="C33" s="455"/>
      <c r="D33" s="455"/>
      <c r="E33" s="455"/>
      <c r="F33" s="456"/>
      <c r="H33" s="463" t="s">
        <v>369</v>
      </c>
      <c r="I33" s="464"/>
      <c r="J33" s="464"/>
      <c r="K33" s="465"/>
      <c r="L33" s="293">
        <f>1.5+4</f>
        <v>5.5</v>
      </c>
      <c r="M33" s="350" t="s">
        <v>18</v>
      </c>
      <c r="AG33" s="346"/>
    </row>
    <row r="34" spans="1:33" x14ac:dyDescent="0.25">
      <c r="A34" s="463" t="s">
        <v>369</v>
      </c>
      <c r="B34" s="464"/>
      <c r="C34" s="464"/>
      <c r="D34" s="465"/>
      <c r="E34" s="293">
        <f>1.5+4</f>
        <v>5.5</v>
      </c>
      <c r="F34" s="350" t="s">
        <v>18</v>
      </c>
      <c r="G34" s="315"/>
      <c r="H34" s="463" t="s">
        <v>370</v>
      </c>
      <c r="I34" s="533"/>
      <c r="J34" s="533"/>
      <c r="K34" s="534"/>
      <c r="L34" s="293">
        <f>L18</f>
        <v>79.320900000000009</v>
      </c>
      <c r="M34" s="350" t="s">
        <v>18</v>
      </c>
      <c r="AE34" s="359"/>
    </row>
    <row r="35" spans="1:33" ht="15.75" customHeight="1" x14ac:dyDescent="0.25">
      <c r="A35" s="463" t="s">
        <v>370</v>
      </c>
      <c r="B35" s="533"/>
      <c r="C35" s="533"/>
      <c r="D35" s="534"/>
      <c r="E35" s="293">
        <f>E19</f>
        <v>55.927599999999998</v>
      </c>
      <c r="F35" s="350" t="s">
        <v>18</v>
      </c>
      <c r="H35" s="463" t="s">
        <v>371</v>
      </c>
      <c r="I35" s="533"/>
      <c r="J35" s="533"/>
      <c r="K35" s="534"/>
      <c r="L35" s="293">
        <v>20.9</v>
      </c>
      <c r="M35" s="350" t="s">
        <v>18</v>
      </c>
    </row>
    <row r="36" spans="1:33" x14ac:dyDescent="0.25">
      <c r="A36" s="463" t="s">
        <v>460</v>
      </c>
      <c r="B36" s="533"/>
      <c r="C36" s="533"/>
      <c r="D36" s="534"/>
      <c r="E36" s="293">
        <v>22</v>
      </c>
      <c r="F36" s="350" t="s">
        <v>18</v>
      </c>
      <c r="H36" s="463" t="s">
        <v>380</v>
      </c>
      <c r="I36" s="533"/>
      <c r="J36" s="533"/>
      <c r="K36" s="534"/>
      <c r="L36" s="293">
        <v>21</v>
      </c>
      <c r="M36" s="350" t="s">
        <v>18</v>
      </c>
    </row>
    <row r="37" spans="1:33" ht="15" customHeight="1" thickBot="1" x14ac:dyDescent="0.3">
      <c r="A37" s="463" t="s">
        <v>461</v>
      </c>
      <c r="B37" s="533"/>
      <c r="C37" s="533"/>
      <c r="D37" s="534"/>
      <c r="E37" s="293">
        <v>21</v>
      </c>
      <c r="F37" s="350" t="s">
        <v>18</v>
      </c>
      <c r="H37" s="460" t="s">
        <v>311</v>
      </c>
      <c r="I37" s="461"/>
      <c r="J37" s="461"/>
      <c r="K37" s="462"/>
      <c r="L37" s="353">
        <f>SUM(L33:L36)</f>
        <v>126.7209</v>
      </c>
      <c r="M37" s="354" t="s">
        <v>18</v>
      </c>
    </row>
    <row r="38" spans="1:33" ht="15.75" thickBot="1" x14ac:dyDescent="0.3">
      <c r="A38" s="460" t="s">
        <v>311</v>
      </c>
      <c r="B38" s="461"/>
      <c r="C38" s="461"/>
      <c r="D38" s="462"/>
      <c r="E38" s="353">
        <f>SUM(E34:E37)</f>
        <v>104.4276</v>
      </c>
      <c r="F38" s="354" t="s">
        <v>18</v>
      </c>
    </row>
    <row r="39" spans="1:33" ht="15.75" thickBot="1" x14ac:dyDescent="0.3">
      <c r="A39" s="446"/>
      <c r="B39" s="447"/>
      <c r="C39" s="447"/>
      <c r="D39" s="447"/>
      <c r="E39" s="447"/>
      <c r="F39" s="448"/>
    </row>
    <row r="41" spans="1:33" ht="15.75" customHeight="1" x14ac:dyDescent="0.25"/>
    <row r="43" spans="1:33" ht="15.75" customHeight="1" x14ac:dyDescent="0.25"/>
    <row r="45" spans="1:33" ht="15" customHeight="1" x14ac:dyDescent="0.25"/>
    <row r="46" spans="1:33" ht="15" customHeight="1" x14ac:dyDescent="0.25"/>
    <row r="47" spans="1:33" ht="15.75" customHeight="1" x14ac:dyDescent="0.25"/>
  </sheetData>
  <mergeCells count="136">
    <mergeCell ref="A38:D38"/>
    <mergeCell ref="A23:F23"/>
    <mergeCell ref="A29:D29"/>
    <mergeCell ref="V26:AB26"/>
    <mergeCell ref="A21:F21"/>
    <mergeCell ref="H20:M20"/>
    <mergeCell ref="A31:F31"/>
    <mergeCell ref="A32:F32"/>
    <mergeCell ref="A33:F33"/>
    <mergeCell ref="A34:D34"/>
    <mergeCell ref="A35:D35"/>
    <mergeCell ref="A36:D36"/>
    <mergeCell ref="A25:D25"/>
    <mergeCell ref="O22:T22"/>
    <mergeCell ref="A28:D28"/>
    <mergeCell ref="H27:K27"/>
    <mergeCell ref="A27:D27"/>
    <mergeCell ref="H31:M31"/>
    <mergeCell ref="H32:M32"/>
    <mergeCell ref="H33:K33"/>
    <mergeCell ref="H34:K34"/>
    <mergeCell ref="H35:K35"/>
    <mergeCell ref="H36:K36"/>
    <mergeCell ref="H37:K37"/>
    <mergeCell ref="A39:F39"/>
    <mergeCell ref="A30:F30"/>
    <mergeCell ref="AB17:AB18"/>
    <mergeCell ref="Y17:Z18"/>
    <mergeCell ref="Q16:R16"/>
    <mergeCell ref="Q17:R17"/>
    <mergeCell ref="Q18:R18"/>
    <mergeCell ref="O29:R29"/>
    <mergeCell ref="O24:T24"/>
    <mergeCell ref="O25:R25"/>
    <mergeCell ref="O26:R26"/>
    <mergeCell ref="O27:R27"/>
    <mergeCell ref="O28:R28"/>
    <mergeCell ref="V16:AB16"/>
    <mergeCell ref="V17:V18"/>
    <mergeCell ref="W17:W18"/>
    <mergeCell ref="X17:X18"/>
    <mergeCell ref="V28:Z28"/>
    <mergeCell ref="V27:Z27"/>
    <mergeCell ref="O23:T23"/>
    <mergeCell ref="AA17:AA18"/>
    <mergeCell ref="A26:D26"/>
    <mergeCell ref="H25:K25"/>
    <mergeCell ref="A37:D37"/>
    <mergeCell ref="C7:D7"/>
    <mergeCell ref="J7:K7"/>
    <mergeCell ref="O21:T21"/>
    <mergeCell ref="A22:F22"/>
    <mergeCell ref="A20:F20"/>
    <mergeCell ref="O20:T20"/>
    <mergeCell ref="H21:M21"/>
    <mergeCell ref="H26:K26"/>
    <mergeCell ref="A19:D19"/>
    <mergeCell ref="H15:K15"/>
    <mergeCell ref="O19:R19"/>
    <mergeCell ref="Q15:R15"/>
    <mergeCell ref="C14:D14"/>
    <mergeCell ref="C17:D17"/>
    <mergeCell ref="C18:D18"/>
    <mergeCell ref="J17:K17"/>
    <mergeCell ref="C11:D11"/>
    <mergeCell ref="J11:K11"/>
    <mergeCell ref="A24:F24"/>
    <mergeCell ref="C16:D16"/>
    <mergeCell ref="C9:D9"/>
    <mergeCell ref="J9:K9"/>
    <mergeCell ref="J16:K16"/>
    <mergeCell ref="Q8:R8"/>
    <mergeCell ref="AD9:AJ9"/>
    <mergeCell ref="C10:D10"/>
    <mergeCell ref="J10:K10"/>
    <mergeCell ref="AD10:AH10"/>
    <mergeCell ref="Q9:R9"/>
    <mergeCell ref="Q13:R13"/>
    <mergeCell ref="Q14:R14"/>
    <mergeCell ref="C12:D12"/>
    <mergeCell ref="C13:D13"/>
    <mergeCell ref="J13:K13"/>
    <mergeCell ref="J14:K14"/>
    <mergeCell ref="V12:Z12"/>
    <mergeCell ref="V13:Z13"/>
    <mergeCell ref="V14:AB15"/>
    <mergeCell ref="J12:K12"/>
    <mergeCell ref="Q11:R11"/>
    <mergeCell ref="Q12:R12"/>
    <mergeCell ref="A15:D15"/>
    <mergeCell ref="A4:F4"/>
    <mergeCell ref="H4:M4"/>
    <mergeCell ref="V4:AB4"/>
    <mergeCell ref="AD4:AF5"/>
    <mergeCell ref="AD7:AJ7"/>
    <mergeCell ref="C8:D8"/>
    <mergeCell ref="J8:K8"/>
    <mergeCell ref="AD8:AH8"/>
    <mergeCell ref="V11:AB11"/>
    <mergeCell ref="Q10:R10"/>
    <mergeCell ref="Q7:R7"/>
    <mergeCell ref="AG4:AH4"/>
    <mergeCell ref="C5:D5"/>
    <mergeCell ref="J5:K5"/>
    <mergeCell ref="V5:V6"/>
    <mergeCell ref="W5:W6"/>
    <mergeCell ref="X5:X6"/>
    <mergeCell ref="Y5:Z6"/>
    <mergeCell ref="AA5:AA6"/>
    <mergeCell ref="AB5:AB6"/>
    <mergeCell ref="AG5:AH5"/>
    <mergeCell ref="C6:D6"/>
    <mergeCell ref="J6:K6"/>
    <mergeCell ref="AD6:AH6"/>
    <mergeCell ref="A2:F2"/>
    <mergeCell ref="H2:M2"/>
    <mergeCell ref="V2:AB2"/>
    <mergeCell ref="AD2:AJ2"/>
    <mergeCell ref="A3:F3"/>
    <mergeCell ref="H3:M3"/>
    <mergeCell ref="V3:AB3"/>
    <mergeCell ref="AD3:AF3"/>
    <mergeCell ref="AG3:AH3"/>
    <mergeCell ref="O2:T2"/>
    <mergeCell ref="O3:T3"/>
    <mergeCell ref="H29:M29"/>
    <mergeCell ref="H18:K18"/>
    <mergeCell ref="H30:M30"/>
    <mergeCell ref="H23:M23"/>
    <mergeCell ref="H22:M22"/>
    <mergeCell ref="H19:M19"/>
    <mergeCell ref="H28:K28"/>
    <mergeCell ref="H24:K24"/>
    <mergeCell ref="O4:T4"/>
    <mergeCell ref="Q5:R5"/>
    <mergeCell ref="Q6:R6"/>
  </mergeCells>
  <phoneticPr fontId="58" type="noConversion"/>
  <pageMargins left="0.70866141732283472" right="0.70866141732283472" top="0.74803149606299213" bottom="0.74803149606299213" header="0.31496062992125984" footer="0.31496062992125984"/>
  <pageSetup paperSize="9" scale="82" fitToWidth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opLeftCell="A43" workbookViewId="0">
      <selection sqref="A1:F68"/>
    </sheetView>
  </sheetViews>
  <sheetFormatPr defaultColWidth="8.85546875" defaultRowHeight="15" x14ac:dyDescent="0.25"/>
  <cols>
    <col min="1" max="1" width="8.85546875" style="388"/>
    <col min="2" max="2" width="11.42578125" style="388" customWidth="1"/>
    <col min="3" max="3" width="20.85546875" style="388" bestFit="1" customWidth="1"/>
    <col min="4" max="4" width="8" style="388" bestFit="1" customWidth="1"/>
    <col min="5" max="5" width="6.85546875" style="388" customWidth="1"/>
    <col min="6" max="6" width="10.42578125" style="388" bestFit="1" customWidth="1"/>
    <col min="7" max="7" width="8.85546875" style="388"/>
    <col min="8" max="9" width="8.85546875" style="388" hidden="1" customWidth="1"/>
    <col min="10" max="11" width="12" style="388" hidden="1" customWidth="1"/>
    <col min="12" max="16384" width="8.85546875" style="388"/>
  </cols>
  <sheetData>
    <row r="1" spans="1:10" x14ac:dyDescent="0.25">
      <c r="A1" s="396" t="s">
        <v>424</v>
      </c>
    </row>
    <row r="2" spans="1:10" x14ac:dyDescent="0.25">
      <c r="A2" s="391" t="s">
        <v>258</v>
      </c>
      <c r="B2" s="391" t="s">
        <v>259</v>
      </c>
      <c r="C2" s="391" t="s">
        <v>260</v>
      </c>
      <c r="D2" s="391" t="s">
        <v>381</v>
      </c>
      <c r="E2" s="391" t="s">
        <v>261</v>
      </c>
      <c r="F2" s="391" t="s">
        <v>420</v>
      </c>
    </row>
    <row r="3" spans="1:10" ht="30" x14ac:dyDescent="0.25">
      <c r="A3" s="398">
        <v>6</v>
      </c>
      <c r="B3" s="391" t="s">
        <v>337</v>
      </c>
      <c r="C3" s="406" t="s">
        <v>431</v>
      </c>
      <c r="D3" s="397">
        <v>0.29166666666666669</v>
      </c>
      <c r="E3" s="397">
        <v>0.625</v>
      </c>
      <c r="F3" s="397">
        <v>0.29166666666666669</v>
      </c>
      <c r="H3" s="388">
        <f>7*4</f>
        <v>28</v>
      </c>
      <c r="I3" s="388">
        <v>44</v>
      </c>
      <c r="J3" s="388">
        <f>H3/I3</f>
        <v>0.63636363636363635</v>
      </c>
    </row>
    <row r="4" spans="1:10" ht="30" x14ac:dyDescent="0.25">
      <c r="A4" s="398">
        <v>2</v>
      </c>
      <c r="B4" s="391" t="s">
        <v>44</v>
      </c>
      <c r="C4" s="406" t="s">
        <v>431</v>
      </c>
      <c r="D4" s="397">
        <v>0.29166666666666669</v>
      </c>
      <c r="E4" s="397">
        <v>0.6875</v>
      </c>
      <c r="F4" s="397">
        <v>0.35416666666666669</v>
      </c>
      <c r="H4" s="388">
        <f>9*4</f>
        <v>36</v>
      </c>
      <c r="I4" s="388">
        <v>44</v>
      </c>
      <c r="J4" s="388">
        <f>H4/I4</f>
        <v>0.81818181818181823</v>
      </c>
    </row>
    <row r="5" spans="1:10" x14ac:dyDescent="0.25">
      <c r="A5" s="398"/>
      <c r="B5" s="391"/>
      <c r="C5" s="391"/>
      <c r="D5" s="397"/>
      <c r="E5" s="397"/>
      <c r="F5" s="397"/>
    </row>
    <row r="6" spans="1:10" x14ac:dyDescent="0.25">
      <c r="A6" s="388" t="s">
        <v>419</v>
      </c>
    </row>
    <row r="8" spans="1:10" x14ac:dyDescent="0.25">
      <c r="A8" s="396" t="s">
        <v>423</v>
      </c>
    </row>
    <row r="9" spans="1:10" x14ac:dyDescent="0.25">
      <c r="A9" s="394" t="s">
        <v>262</v>
      </c>
      <c r="B9" s="393"/>
      <c r="C9" s="393"/>
      <c r="D9" s="393"/>
      <c r="E9" s="393"/>
      <c r="F9" s="392">
        <v>7</v>
      </c>
    </row>
    <row r="10" spans="1:10" x14ac:dyDescent="0.25">
      <c r="A10" s="394" t="s">
        <v>422</v>
      </c>
      <c r="B10" s="393"/>
      <c r="C10" s="393"/>
      <c r="D10" s="393"/>
      <c r="E10" s="393"/>
      <c r="F10" s="392">
        <v>4</v>
      </c>
    </row>
    <row r="11" spans="1:10" x14ac:dyDescent="0.25">
      <c r="A11" s="394" t="s">
        <v>264</v>
      </c>
      <c r="B11" s="393"/>
      <c r="C11" s="393"/>
      <c r="D11" s="393"/>
      <c r="E11" s="393"/>
      <c r="F11" s="392">
        <f>F9*F10</f>
        <v>28</v>
      </c>
    </row>
    <row r="12" spans="1:10" x14ac:dyDescent="0.25">
      <c r="A12" s="394" t="s">
        <v>265</v>
      </c>
      <c r="B12" s="393"/>
      <c r="C12" s="393"/>
      <c r="D12" s="393"/>
      <c r="E12" s="393"/>
      <c r="F12" s="392">
        <v>6</v>
      </c>
    </row>
    <row r="13" spans="1:10" x14ac:dyDescent="0.25">
      <c r="A13" s="394" t="s">
        <v>266</v>
      </c>
      <c r="B13" s="393"/>
      <c r="C13" s="393"/>
      <c r="D13" s="393"/>
      <c r="E13" s="393"/>
      <c r="F13" s="392">
        <v>7</v>
      </c>
    </row>
    <row r="14" spans="1:10" x14ac:dyDescent="0.25">
      <c r="A14" s="394" t="s">
        <v>267</v>
      </c>
      <c r="B14" s="393"/>
      <c r="C14" s="393"/>
      <c r="D14" s="393"/>
      <c r="E14" s="393"/>
      <c r="F14" s="395">
        <f>F11/F12</f>
        <v>4.666666666666667</v>
      </c>
    </row>
    <row r="15" spans="1:10" x14ac:dyDescent="0.25">
      <c r="A15" s="394" t="s">
        <v>268</v>
      </c>
      <c r="B15" s="393"/>
      <c r="C15" s="393"/>
      <c r="D15" s="393"/>
      <c r="E15" s="393"/>
      <c r="F15" s="392">
        <v>30</v>
      </c>
    </row>
    <row r="16" spans="1:10" x14ac:dyDescent="0.25">
      <c r="A16" s="390" t="s">
        <v>417</v>
      </c>
      <c r="B16" s="389"/>
      <c r="C16" s="389"/>
      <c r="D16" s="389"/>
      <c r="E16" s="389"/>
      <c r="F16" s="391">
        <f>F14*F15</f>
        <v>140</v>
      </c>
    </row>
    <row r="17" spans="1:6" x14ac:dyDescent="0.25">
      <c r="A17" s="390" t="s">
        <v>269</v>
      </c>
      <c r="B17" s="389"/>
      <c r="C17" s="389"/>
      <c r="D17" s="389"/>
      <c r="E17" s="389"/>
      <c r="F17" s="391">
        <v>220</v>
      </c>
    </row>
    <row r="18" spans="1:6" x14ac:dyDescent="0.25">
      <c r="A18" s="390" t="s">
        <v>270</v>
      </c>
      <c r="B18" s="389"/>
      <c r="C18" s="389"/>
      <c r="D18" s="389"/>
      <c r="E18" s="389"/>
      <c r="F18" s="256">
        <f>F16/F17</f>
        <v>0.63636363636363635</v>
      </c>
    </row>
    <row r="20" spans="1:6" x14ac:dyDescent="0.25">
      <c r="A20" s="396" t="s">
        <v>440</v>
      </c>
    </row>
    <row r="21" spans="1:6" x14ac:dyDescent="0.25">
      <c r="A21" s="394" t="s">
        <v>418</v>
      </c>
      <c r="B21" s="393"/>
      <c r="C21" s="393"/>
      <c r="D21" s="393"/>
      <c r="E21" s="393"/>
      <c r="F21" s="392">
        <v>8.5</v>
      </c>
    </row>
    <row r="22" spans="1:6" x14ac:dyDescent="0.25">
      <c r="A22" s="394" t="s">
        <v>263</v>
      </c>
      <c r="B22" s="393"/>
      <c r="C22" s="393"/>
      <c r="D22" s="393"/>
      <c r="E22" s="393"/>
      <c r="F22" s="392">
        <v>4</v>
      </c>
    </row>
    <row r="23" spans="1:6" x14ac:dyDescent="0.25">
      <c r="A23" s="394" t="s">
        <v>264</v>
      </c>
      <c r="B23" s="393"/>
      <c r="C23" s="393"/>
      <c r="D23" s="393"/>
      <c r="E23" s="393"/>
      <c r="F23" s="392">
        <f>F21*F22</f>
        <v>34</v>
      </c>
    </row>
    <row r="24" spans="1:6" x14ac:dyDescent="0.25">
      <c r="A24" s="394" t="s">
        <v>265</v>
      </c>
      <c r="B24" s="393"/>
      <c r="C24" s="393"/>
      <c r="D24" s="393"/>
      <c r="E24" s="393"/>
      <c r="F24" s="392">
        <v>6</v>
      </c>
    </row>
    <row r="25" spans="1:6" x14ac:dyDescent="0.25">
      <c r="A25" s="394" t="s">
        <v>266</v>
      </c>
      <c r="B25" s="393"/>
      <c r="C25" s="393"/>
      <c r="D25" s="393"/>
      <c r="E25" s="393"/>
      <c r="F25" s="392">
        <v>7</v>
      </c>
    </row>
    <row r="26" spans="1:6" x14ac:dyDescent="0.25">
      <c r="A26" s="394" t="s">
        <v>267</v>
      </c>
      <c r="B26" s="393"/>
      <c r="C26" s="393"/>
      <c r="D26" s="393"/>
      <c r="E26" s="393"/>
      <c r="F26" s="395">
        <f>F23/F24</f>
        <v>5.666666666666667</v>
      </c>
    </row>
    <row r="27" spans="1:6" x14ac:dyDescent="0.25">
      <c r="A27" s="394" t="s">
        <v>268</v>
      </c>
      <c r="B27" s="393"/>
      <c r="C27" s="393"/>
      <c r="D27" s="393"/>
      <c r="E27" s="393"/>
      <c r="F27" s="392">
        <v>30</v>
      </c>
    </row>
    <row r="28" spans="1:6" x14ac:dyDescent="0.25">
      <c r="A28" s="390" t="s">
        <v>417</v>
      </c>
      <c r="B28" s="389"/>
      <c r="C28" s="389"/>
      <c r="D28" s="389"/>
      <c r="E28" s="389"/>
      <c r="F28" s="391">
        <f>F26*F27</f>
        <v>170</v>
      </c>
    </row>
    <row r="29" spans="1:6" x14ac:dyDescent="0.25">
      <c r="A29" s="390" t="s">
        <v>269</v>
      </c>
      <c r="B29" s="389"/>
      <c r="C29" s="389"/>
      <c r="D29" s="389"/>
      <c r="E29" s="389"/>
      <c r="F29" s="391">
        <v>220</v>
      </c>
    </row>
    <row r="30" spans="1:6" x14ac:dyDescent="0.25">
      <c r="A30" s="390" t="s">
        <v>270</v>
      </c>
      <c r="B30" s="389"/>
      <c r="C30" s="389"/>
      <c r="D30" s="389"/>
      <c r="E30" s="389"/>
      <c r="F30" s="256">
        <f>F28/F29</f>
        <v>0.77272727272727271</v>
      </c>
    </row>
    <row r="32" spans="1:6" x14ac:dyDescent="0.25">
      <c r="A32" s="396" t="s">
        <v>421</v>
      </c>
    </row>
    <row r="33" spans="1:11" x14ac:dyDescent="0.25">
      <c r="A33" s="391" t="s">
        <v>258</v>
      </c>
      <c r="B33" s="391" t="s">
        <v>259</v>
      </c>
      <c r="C33" s="391" t="s">
        <v>260</v>
      </c>
      <c r="D33" s="391" t="s">
        <v>381</v>
      </c>
      <c r="E33" s="391" t="s">
        <v>261</v>
      </c>
      <c r="F33" s="391" t="s">
        <v>420</v>
      </c>
    </row>
    <row r="34" spans="1:11" x14ac:dyDescent="0.25">
      <c r="A34" s="398">
        <v>6</v>
      </c>
      <c r="B34" s="391" t="s">
        <v>337</v>
      </c>
      <c r="C34" s="391" t="s">
        <v>432</v>
      </c>
      <c r="D34" s="397">
        <v>0.29166666666666669</v>
      </c>
      <c r="E34" s="397">
        <v>0.625</v>
      </c>
      <c r="F34" s="397">
        <v>0.29166666666666669</v>
      </c>
      <c r="H34" s="388">
        <f>14*6</f>
        <v>84</v>
      </c>
      <c r="I34" s="388">
        <f>H34*4.28</f>
        <v>359.52000000000004</v>
      </c>
    </row>
    <row r="35" spans="1:11" x14ac:dyDescent="0.25">
      <c r="A35" s="398">
        <v>2</v>
      </c>
      <c r="B35" s="391" t="s">
        <v>44</v>
      </c>
      <c r="C35" s="391" t="s">
        <v>432</v>
      </c>
      <c r="D35" s="397">
        <v>0.29166666666666669</v>
      </c>
      <c r="E35" s="397">
        <v>0.6875</v>
      </c>
      <c r="F35" s="397">
        <v>0.35416666666666669</v>
      </c>
      <c r="J35" s="388">
        <f>17*2</f>
        <v>34</v>
      </c>
      <c r="K35" s="388">
        <f>J35*4.28</f>
        <v>145.52000000000001</v>
      </c>
    </row>
    <row r="36" spans="1:11" x14ac:dyDescent="0.25">
      <c r="A36" s="398"/>
      <c r="B36" s="391"/>
      <c r="C36" s="391"/>
      <c r="D36" s="397"/>
      <c r="E36" s="397"/>
      <c r="F36" s="397"/>
    </row>
    <row r="37" spans="1:11" ht="30" x14ac:dyDescent="0.25">
      <c r="A37" s="398">
        <v>2</v>
      </c>
      <c r="B37" s="406" t="s">
        <v>441</v>
      </c>
      <c r="C37" s="391" t="s">
        <v>442</v>
      </c>
      <c r="D37" s="397">
        <v>0.625</v>
      </c>
      <c r="E37" s="397">
        <v>0.79166666666666663</v>
      </c>
      <c r="F37" s="397">
        <v>0.16666666666666666</v>
      </c>
      <c r="H37" s="388">
        <f>8/4.28</f>
        <v>1.8691588785046729</v>
      </c>
      <c r="I37" s="388">
        <f>H37*4.28</f>
        <v>8</v>
      </c>
    </row>
    <row r="38" spans="1:11" ht="30" x14ac:dyDescent="0.25">
      <c r="A38" s="398">
        <v>1</v>
      </c>
      <c r="B38" s="406" t="s">
        <v>443</v>
      </c>
      <c r="C38" s="391" t="s">
        <v>442</v>
      </c>
      <c r="D38" s="397">
        <v>0.625</v>
      </c>
      <c r="E38" s="397">
        <v>0.79166666666666663</v>
      </c>
      <c r="F38" s="397">
        <v>0.16666666666666666</v>
      </c>
      <c r="J38" s="388">
        <f>4/4.28</f>
        <v>0.93457943925233644</v>
      </c>
      <c r="K38" s="388">
        <f>J38*4.28</f>
        <v>4</v>
      </c>
    </row>
    <row r="39" spans="1:11" x14ac:dyDescent="0.25">
      <c r="A39" s="398"/>
      <c r="B39" s="391"/>
      <c r="C39" s="391"/>
      <c r="D39" s="397"/>
      <c r="E39" s="397"/>
      <c r="F39" s="397"/>
    </row>
    <row r="40" spans="1:11" ht="30" x14ac:dyDescent="0.25">
      <c r="A40" s="398">
        <v>2</v>
      </c>
      <c r="B40" s="406" t="s">
        <v>444</v>
      </c>
      <c r="C40" s="391" t="s">
        <v>446</v>
      </c>
      <c r="D40" s="397">
        <v>0.625</v>
      </c>
      <c r="E40" s="397">
        <v>0.79166666666666663</v>
      </c>
      <c r="F40" s="397">
        <v>0.16666666666666666</v>
      </c>
      <c r="H40" s="388">
        <f>H37*2</f>
        <v>3.7383177570093458</v>
      </c>
      <c r="I40" s="388">
        <f>H40*4.28</f>
        <v>16</v>
      </c>
    </row>
    <row r="41" spans="1:11" ht="30" x14ac:dyDescent="0.25">
      <c r="A41" s="398">
        <v>1</v>
      </c>
      <c r="B41" s="406" t="s">
        <v>445</v>
      </c>
      <c r="C41" s="391" t="s">
        <v>446</v>
      </c>
      <c r="D41" s="397">
        <v>0.625</v>
      </c>
      <c r="E41" s="397">
        <v>0.79166666666666663</v>
      </c>
      <c r="F41" s="397">
        <v>0.16666666666666666</v>
      </c>
      <c r="J41" s="388">
        <f>J38*2</f>
        <v>1.8691588785046729</v>
      </c>
      <c r="K41" s="388">
        <f>J41*4.28</f>
        <v>8</v>
      </c>
    </row>
    <row r="42" spans="1:11" x14ac:dyDescent="0.25">
      <c r="A42" s="398"/>
      <c r="B42" s="406"/>
      <c r="C42" s="391"/>
      <c r="D42" s="397"/>
      <c r="E42" s="397"/>
      <c r="F42" s="397"/>
    </row>
    <row r="43" spans="1:11" x14ac:dyDescent="0.25">
      <c r="A43" s="398"/>
      <c r="B43" s="391"/>
      <c r="C43" s="391"/>
      <c r="D43" s="397"/>
      <c r="E43" s="397"/>
      <c r="F43" s="397"/>
      <c r="J43" s="388">
        <v>0</v>
      </c>
      <c r="K43" s="388">
        <f>J43*4.28</f>
        <v>0</v>
      </c>
    </row>
    <row r="44" spans="1:11" x14ac:dyDescent="0.25">
      <c r="A44" s="388" t="s">
        <v>419</v>
      </c>
      <c r="H44" s="388">
        <f>SUM(H34:H43)</f>
        <v>89.607476635514018</v>
      </c>
      <c r="I44" s="388">
        <f>SUM(I34:I43)</f>
        <v>383.52000000000004</v>
      </c>
      <c r="J44" s="388">
        <f>SUM(J34:J43)</f>
        <v>36.803738317757009</v>
      </c>
      <c r="K44" s="388">
        <f>SUM(K34:K43)</f>
        <v>157.52000000000001</v>
      </c>
    </row>
    <row r="45" spans="1:11" x14ac:dyDescent="0.25">
      <c r="H45" s="388">
        <v>6</v>
      </c>
      <c r="I45" s="388">
        <v>6</v>
      </c>
      <c r="J45" s="388">
        <v>2</v>
      </c>
      <c r="K45" s="388">
        <v>2</v>
      </c>
    </row>
    <row r="46" spans="1:11" x14ac:dyDescent="0.25">
      <c r="A46" s="396" t="s">
        <v>452</v>
      </c>
      <c r="H46" s="388">
        <f>H44/H45</f>
        <v>14.934579439252337</v>
      </c>
      <c r="I46" s="388">
        <f>I44/I45</f>
        <v>63.920000000000009</v>
      </c>
      <c r="J46" s="388">
        <f>J44/J45</f>
        <v>18.401869158878505</v>
      </c>
      <c r="K46" s="388">
        <f>K44/K45</f>
        <v>78.760000000000005</v>
      </c>
    </row>
    <row r="47" spans="1:11" x14ac:dyDescent="0.25">
      <c r="A47" s="394" t="s">
        <v>262</v>
      </c>
      <c r="B47" s="393"/>
      <c r="C47" s="393"/>
      <c r="D47" s="393"/>
      <c r="E47" s="393"/>
      <c r="F47" s="392">
        <v>5</v>
      </c>
      <c r="H47" s="388">
        <f>H46/44</f>
        <v>0.33942225998300768</v>
      </c>
      <c r="I47" s="388">
        <f>I46/(44*4.28)</f>
        <v>0.33942225998300768</v>
      </c>
      <c r="J47" s="388">
        <f>J46/44</f>
        <v>0.41822429906542058</v>
      </c>
      <c r="K47" s="388">
        <f>K46/(44*4.28)</f>
        <v>0.41822429906542052</v>
      </c>
    </row>
    <row r="48" spans="1:11" x14ac:dyDescent="0.25">
      <c r="A48" s="401" t="s">
        <v>422</v>
      </c>
      <c r="B48" s="393"/>
      <c r="C48" s="393"/>
      <c r="D48" s="393"/>
      <c r="E48" s="393"/>
      <c r="F48" s="392">
        <v>3</v>
      </c>
    </row>
    <row r="49" spans="1:8" x14ac:dyDescent="0.25">
      <c r="A49" s="394" t="s">
        <v>264</v>
      </c>
      <c r="B49" s="393"/>
      <c r="C49" s="393"/>
      <c r="D49" s="393"/>
      <c r="E49" s="393"/>
      <c r="F49" s="392">
        <f>F47*F48</f>
        <v>15</v>
      </c>
    </row>
    <row r="50" spans="1:8" x14ac:dyDescent="0.25">
      <c r="A50" s="394" t="s">
        <v>265</v>
      </c>
      <c r="B50" s="393"/>
      <c r="C50" s="393"/>
      <c r="D50" s="393"/>
      <c r="E50" s="393"/>
      <c r="F50" s="392">
        <v>6</v>
      </c>
    </row>
    <row r="51" spans="1:8" x14ac:dyDescent="0.25">
      <c r="A51" s="394" t="s">
        <v>266</v>
      </c>
      <c r="B51" s="393"/>
      <c r="C51" s="393"/>
      <c r="D51" s="393"/>
      <c r="E51" s="393"/>
      <c r="F51" s="392">
        <v>7</v>
      </c>
    </row>
    <row r="52" spans="1:8" x14ac:dyDescent="0.25">
      <c r="A52" s="394" t="s">
        <v>267</v>
      </c>
      <c r="B52" s="393"/>
      <c r="C52" s="393"/>
      <c r="D52" s="393"/>
      <c r="E52" s="393"/>
      <c r="F52" s="395">
        <f>F49/F50</f>
        <v>2.5</v>
      </c>
    </row>
    <row r="53" spans="1:8" x14ac:dyDescent="0.25">
      <c r="A53" s="394" t="s">
        <v>268</v>
      </c>
      <c r="B53" s="393"/>
      <c r="C53" s="393"/>
      <c r="D53" s="393"/>
      <c r="E53" s="393"/>
      <c r="F53" s="392">
        <v>30</v>
      </c>
    </row>
    <row r="54" spans="1:8" x14ac:dyDescent="0.25">
      <c r="A54" s="390" t="s">
        <v>417</v>
      </c>
      <c r="B54" s="389"/>
      <c r="C54" s="389"/>
      <c r="D54" s="389"/>
      <c r="E54" s="389"/>
      <c r="F54" s="391">
        <f>F52*F53</f>
        <v>75</v>
      </c>
    </row>
    <row r="55" spans="1:8" x14ac:dyDescent="0.25">
      <c r="A55" s="390" t="s">
        <v>269</v>
      </c>
      <c r="B55" s="389"/>
      <c r="C55" s="389"/>
      <c r="D55" s="389"/>
      <c r="E55" s="389"/>
      <c r="F55" s="391">
        <v>220</v>
      </c>
    </row>
    <row r="56" spans="1:8" x14ac:dyDescent="0.25">
      <c r="A56" s="390" t="s">
        <v>270</v>
      </c>
      <c r="B56" s="389"/>
      <c r="C56" s="389"/>
      <c r="D56" s="389"/>
      <c r="E56" s="389"/>
      <c r="F56" s="256">
        <f>F54/F55</f>
        <v>0.34090909090909088</v>
      </c>
      <c r="H56" s="405">
        <f>F18+F56</f>
        <v>0.97727272727272729</v>
      </c>
    </row>
    <row r="58" spans="1:8" x14ac:dyDescent="0.25">
      <c r="A58" s="396" t="s">
        <v>453</v>
      </c>
    </row>
    <row r="59" spans="1:8" x14ac:dyDescent="0.25">
      <c r="A59" s="394" t="s">
        <v>418</v>
      </c>
      <c r="B59" s="393"/>
      <c r="C59" s="393"/>
      <c r="D59" s="393"/>
      <c r="E59" s="393"/>
      <c r="F59" s="392">
        <v>6.2</v>
      </c>
    </row>
    <row r="60" spans="1:8" x14ac:dyDescent="0.25">
      <c r="A60" s="408" t="s">
        <v>263</v>
      </c>
      <c r="B60" s="393"/>
      <c r="C60" s="393"/>
      <c r="D60" s="393"/>
      <c r="E60" s="393"/>
      <c r="F60" s="392">
        <v>3</v>
      </c>
    </row>
    <row r="61" spans="1:8" x14ac:dyDescent="0.25">
      <c r="A61" s="394" t="s">
        <v>264</v>
      </c>
      <c r="B61" s="393"/>
      <c r="C61" s="393"/>
      <c r="D61" s="393"/>
      <c r="E61" s="393"/>
      <c r="F61" s="392">
        <f>F59*F60</f>
        <v>18.600000000000001</v>
      </c>
    </row>
    <row r="62" spans="1:8" x14ac:dyDescent="0.25">
      <c r="A62" s="394" t="s">
        <v>265</v>
      </c>
      <c r="B62" s="393"/>
      <c r="C62" s="393"/>
      <c r="D62" s="393"/>
      <c r="E62" s="393"/>
      <c r="F62" s="392">
        <v>6</v>
      </c>
    </row>
    <row r="63" spans="1:8" x14ac:dyDescent="0.25">
      <c r="A63" s="394" t="s">
        <v>266</v>
      </c>
      <c r="B63" s="393"/>
      <c r="C63" s="393"/>
      <c r="D63" s="393"/>
      <c r="E63" s="393"/>
      <c r="F63" s="392">
        <v>7</v>
      </c>
    </row>
    <row r="64" spans="1:8" x14ac:dyDescent="0.25">
      <c r="A64" s="394" t="s">
        <v>267</v>
      </c>
      <c r="B64" s="393"/>
      <c r="C64" s="393"/>
      <c r="D64" s="393"/>
      <c r="E64" s="393"/>
      <c r="F64" s="395">
        <f>F61/F62</f>
        <v>3.1</v>
      </c>
    </row>
    <row r="65" spans="1:8" x14ac:dyDescent="0.25">
      <c r="A65" s="394" t="s">
        <v>268</v>
      </c>
      <c r="B65" s="393"/>
      <c r="C65" s="393"/>
      <c r="D65" s="393"/>
      <c r="E65" s="393"/>
      <c r="F65" s="392">
        <v>30</v>
      </c>
    </row>
    <row r="66" spans="1:8" x14ac:dyDescent="0.25">
      <c r="A66" s="390" t="s">
        <v>417</v>
      </c>
      <c r="B66" s="389"/>
      <c r="C66" s="389"/>
      <c r="D66" s="389"/>
      <c r="E66" s="389"/>
      <c r="F66" s="391">
        <f>F64*F65</f>
        <v>93</v>
      </c>
    </row>
    <row r="67" spans="1:8" x14ac:dyDescent="0.25">
      <c r="A67" s="390" t="s">
        <v>269</v>
      </c>
      <c r="B67" s="389"/>
      <c r="C67" s="389"/>
      <c r="D67" s="389"/>
      <c r="E67" s="389"/>
      <c r="F67" s="391">
        <v>220</v>
      </c>
    </row>
    <row r="68" spans="1:8" x14ac:dyDescent="0.25">
      <c r="A68" s="390" t="s">
        <v>270</v>
      </c>
      <c r="B68" s="389"/>
      <c r="C68" s="389"/>
      <c r="D68" s="389"/>
      <c r="E68" s="389"/>
      <c r="F68" s="256">
        <f>F66/F67</f>
        <v>0.42272727272727273</v>
      </c>
      <c r="H68" s="405">
        <f>F30+F68</f>
        <v>1.1954545454545453</v>
      </c>
    </row>
  </sheetData>
  <pageMargins left="0.51181102362204722" right="0.51181102362204722" top="0.78740157480314965" bottom="0.78740157480314965" header="0.31496062992125984" footer="0.31496062992125984"/>
  <pageSetup paperSize="9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B17"/>
    </sheetView>
  </sheetViews>
  <sheetFormatPr defaultColWidth="9.140625" defaultRowHeight="19.5" customHeight="1" x14ac:dyDescent="0.2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 x14ac:dyDescent="0.25">
      <c r="A1" s="548" t="s">
        <v>314</v>
      </c>
      <c r="B1" s="549"/>
    </row>
    <row r="2" spans="1:2" s="95" customFormat="1" ht="19.5" customHeight="1" x14ac:dyDescent="0.2">
      <c r="A2" s="218" t="s">
        <v>173</v>
      </c>
      <c r="B2" s="219" t="s">
        <v>231</v>
      </c>
    </row>
    <row r="3" spans="1:2" ht="19.5" customHeight="1" x14ac:dyDescent="0.2">
      <c r="A3" s="138">
        <v>1</v>
      </c>
      <c r="B3" s="137">
        <v>33.629999999999995</v>
      </c>
    </row>
    <row r="4" spans="1:2" ht="19.5" customHeight="1" x14ac:dyDescent="0.2">
      <c r="A4" s="138">
        <v>2</v>
      </c>
      <c r="B4" s="137">
        <v>43.13</v>
      </c>
    </row>
    <row r="5" spans="1:2" ht="19.5" customHeight="1" x14ac:dyDescent="0.2">
      <c r="A5" s="138">
        <v>3</v>
      </c>
      <c r="B5" s="137">
        <v>48.68</v>
      </c>
    </row>
    <row r="6" spans="1:2" ht="19.5" customHeight="1" x14ac:dyDescent="0.2">
      <c r="A6" s="138">
        <v>4</v>
      </c>
      <c r="B6" s="137">
        <v>52.62</v>
      </c>
    </row>
    <row r="7" spans="1:2" ht="19.5" customHeight="1" x14ac:dyDescent="0.2">
      <c r="A7" s="138">
        <v>5</v>
      </c>
      <c r="B7" s="137">
        <v>55.679999999999993</v>
      </c>
    </row>
    <row r="8" spans="1:2" ht="19.5" customHeight="1" x14ac:dyDescent="0.2">
      <c r="A8" s="138">
        <v>6</v>
      </c>
      <c r="B8" s="137">
        <v>58.18</v>
      </c>
    </row>
    <row r="9" spans="1:2" ht="19.5" customHeight="1" x14ac:dyDescent="0.2">
      <c r="A9" s="138">
        <v>7</v>
      </c>
      <c r="B9" s="137">
        <v>60.29</v>
      </c>
    </row>
    <row r="10" spans="1:2" ht="19.5" customHeight="1" x14ac:dyDescent="0.2">
      <c r="A10" s="138">
        <v>8</v>
      </c>
      <c r="B10" s="137">
        <v>62.12</v>
      </c>
    </row>
    <row r="11" spans="1:2" ht="19.5" customHeight="1" x14ac:dyDescent="0.2">
      <c r="A11" s="138">
        <v>9</v>
      </c>
      <c r="B11" s="137">
        <v>63.73</v>
      </c>
    </row>
    <row r="12" spans="1:2" ht="19.5" customHeight="1" x14ac:dyDescent="0.2">
      <c r="A12" s="138">
        <v>10</v>
      </c>
      <c r="B12" s="137">
        <v>65.180000000000007</v>
      </c>
    </row>
    <row r="13" spans="1:2" ht="19.5" customHeight="1" x14ac:dyDescent="0.2">
      <c r="A13" s="138">
        <v>11</v>
      </c>
      <c r="B13" s="137">
        <v>66.47999999999999</v>
      </c>
    </row>
    <row r="14" spans="1:2" ht="19.5" customHeight="1" x14ac:dyDescent="0.2">
      <c r="A14" s="138">
        <v>12</v>
      </c>
      <c r="B14" s="137">
        <v>67.67</v>
      </c>
    </row>
    <row r="15" spans="1:2" ht="19.5" customHeight="1" x14ac:dyDescent="0.2">
      <c r="A15" s="138">
        <v>13</v>
      </c>
      <c r="B15" s="137">
        <v>68.77</v>
      </c>
    </row>
    <row r="16" spans="1:2" ht="19.5" customHeight="1" x14ac:dyDescent="0.2">
      <c r="A16" s="138">
        <v>14</v>
      </c>
      <c r="B16" s="137">
        <v>69.789999999999992</v>
      </c>
    </row>
    <row r="17" spans="1:2" ht="19.5" customHeight="1" thickBot="1" x14ac:dyDescent="0.25">
      <c r="A17" s="139">
        <v>15</v>
      </c>
      <c r="B17" s="140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8</vt:i4>
      </vt:variant>
    </vt:vector>
  </HeadingPairs>
  <TitlesOfParts>
    <vt:vector size="19" baseType="lpstr">
      <vt:lpstr>Resumo</vt:lpstr>
      <vt:lpstr>1. Coleta Orgânica</vt:lpstr>
      <vt:lpstr>2. Coleta Seletiva </vt:lpstr>
      <vt:lpstr>3.Enc Sociais</vt:lpstr>
      <vt:lpstr>4.BDI</vt:lpstr>
      <vt:lpstr>5. Ton</vt:lpstr>
      <vt:lpstr>6. Roteiros</vt:lpstr>
      <vt:lpstr>7. Horários</vt:lpstr>
      <vt:lpstr>8. Depr</vt:lpstr>
      <vt:lpstr>9. Rem capital</vt:lpstr>
      <vt:lpstr>10. Dimens</vt:lpstr>
      <vt:lpstr>AbaDeprec</vt:lpstr>
      <vt:lpstr>AbaRemun</vt:lpstr>
      <vt:lpstr>'1. Coleta Orgânica'!Area_de_impressao</vt:lpstr>
      <vt:lpstr>'2. Coleta Seletiva '!Area_de_impressao</vt:lpstr>
      <vt:lpstr>'3.Enc Sociais'!Area_de_impressao</vt:lpstr>
      <vt:lpstr>'6. Roteiros'!Area_de_impressao</vt:lpstr>
      <vt:lpstr>'1. Coleta Orgânica'!Titulos_de_impressao</vt:lpstr>
      <vt:lpstr>'2. Coleta Seletiva '!Titulos_de_impressao</vt:lpstr>
    </vt:vector>
  </TitlesOfParts>
  <Company>dmlu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Usuario</cp:lastModifiedBy>
  <cp:lastPrinted>2024-09-17T17:35:07Z</cp:lastPrinted>
  <dcterms:created xsi:type="dcterms:W3CDTF">2000-12-13T10:02:50Z</dcterms:created>
  <dcterms:modified xsi:type="dcterms:W3CDTF">2024-09-17T17:37:37Z</dcterms:modified>
</cp:coreProperties>
</file>