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s" sheetId="1" r:id="rId1"/>
    <sheet name="Lin1" sheetId="2" r:id="rId2"/>
    <sheet name="Lin3" sheetId="3" r:id="rId3"/>
    <sheet name="Lin4" sheetId="4" r:id="rId4"/>
    <sheet name="Lin 7" sheetId="5" r:id="rId5"/>
    <sheet name="Lin8" sheetId="6" r:id="rId6"/>
    <sheet name="Lin9" sheetId="7" r:id="rId7"/>
    <sheet name="lin10" sheetId="8" r:id="rId8"/>
    <sheet name="lin12" sheetId="9" r:id="rId9"/>
    <sheet name="Lin13" sheetId="10" r:id="rId10"/>
    <sheet name="Lin14" sheetId="11" r:id="rId11"/>
    <sheet name="Lin15" sheetId="12" r:id="rId12"/>
    <sheet name="Lin20" sheetId="13" r:id="rId13"/>
    <sheet name="Lin21" sheetId="14" r:id="rId14"/>
    <sheet name="Encargos Sociais" sheetId="15" r:id="rId15"/>
    <sheet name="BDI" sheetId="16" r:id="rId16"/>
    <sheet name="Depreciação" sheetId="17" r:id="rId17"/>
  </sheets>
  <definedNames>
    <definedName name="_____LO25" localSheetId="4">#REF!</definedName>
    <definedName name="_____LO25" localSheetId="7">#REF!</definedName>
    <definedName name="_____LO25" localSheetId="8">#REF!</definedName>
    <definedName name="_____LO25" localSheetId="9">#REF!</definedName>
    <definedName name="_____LO25" localSheetId="10">#REF!</definedName>
    <definedName name="_____LO25" localSheetId="11">#REF!</definedName>
    <definedName name="_____LO25" localSheetId="12">#REF!</definedName>
    <definedName name="_____LO25" localSheetId="13">#REF!</definedName>
    <definedName name="_____LO25" localSheetId="2">#REF!</definedName>
    <definedName name="_____LO25" localSheetId="3">#REF!</definedName>
    <definedName name="_____LO25" localSheetId="5">#REF!</definedName>
    <definedName name="_____LO25" localSheetId="6">#REF!</definedName>
    <definedName name="_____LO25">#REF!</definedName>
    <definedName name="____LO25" localSheetId="4">#REF!</definedName>
    <definedName name="____LO25" localSheetId="1">#REF!</definedName>
    <definedName name="____LO25" localSheetId="7">#REF!</definedName>
    <definedName name="____LO25" localSheetId="8">#REF!</definedName>
    <definedName name="____LO25" localSheetId="9">#REF!</definedName>
    <definedName name="____LO25" localSheetId="10">#REF!</definedName>
    <definedName name="____LO25" localSheetId="11">#REF!</definedName>
    <definedName name="____LO25" localSheetId="12">#REF!</definedName>
    <definedName name="____LO25" localSheetId="13">#REF!</definedName>
    <definedName name="____LO25" localSheetId="2">#REF!</definedName>
    <definedName name="____LO25" localSheetId="3">#REF!</definedName>
    <definedName name="____LO25" localSheetId="5">#REF!</definedName>
    <definedName name="____LO25" localSheetId="6">#REF!</definedName>
    <definedName name="____LO25">#REF!</definedName>
    <definedName name="___LO25" localSheetId="4">#REF!</definedName>
    <definedName name="___LO25" localSheetId="1">#REF!</definedName>
    <definedName name="___LO25" localSheetId="7">#REF!</definedName>
    <definedName name="___LO25" localSheetId="8">#REF!</definedName>
    <definedName name="___LO25" localSheetId="9">#REF!</definedName>
    <definedName name="___LO25" localSheetId="10">#REF!</definedName>
    <definedName name="___LO25" localSheetId="11">#REF!</definedName>
    <definedName name="___LO25" localSheetId="12">#REF!</definedName>
    <definedName name="___LO25" localSheetId="13">#REF!</definedName>
    <definedName name="___LO25" localSheetId="2">#REF!</definedName>
    <definedName name="___LO25" localSheetId="3">#REF!</definedName>
    <definedName name="___LO25" localSheetId="5">#REF!</definedName>
    <definedName name="___LO25" localSheetId="6">#REF!</definedName>
    <definedName name="___LO25">#REF!</definedName>
    <definedName name="__LO25" localSheetId="4">#REF!</definedName>
    <definedName name="__LO25" localSheetId="1">#REF!</definedName>
    <definedName name="__LO25" localSheetId="7">#REF!</definedName>
    <definedName name="__LO25" localSheetId="8">#REF!</definedName>
    <definedName name="__LO25" localSheetId="9">#REF!</definedName>
    <definedName name="__LO25" localSheetId="10">#REF!</definedName>
    <definedName name="__LO25" localSheetId="11">#REF!</definedName>
    <definedName name="__LO25" localSheetId="12">#REF!</definedName>
    <definedName name="__LO25" localSheetId="13">#REF!</definedName>
    <definedName name="__LO25" localSheetId="2">#REF!</definedName>
    <definedName name="__LO25" localSheetId="3">#REF!</definedName>
    <definedName name="__LO25" localSheetId="5">#REF!</definedName>
    <definedName name="__LO25" localSheetId="6">#REF!</definedName>
    <definedName name="__LO25">#REF!</definedName>
    <definedName name="_LO25" localSheetId="4">#REF!</definedName>
    <definedName name="_LO25" localSheetId="1">#REF!</definedName>
    <definedName name="_LO25" localSheetId="7">#REF!</definedName>
    <definedName name="_LO25" localSheetId="8">#REF!</definedName>
    <definedName name="_LO25" localSheetId="9">#REF!</definedName>
    <definedName name="_LO25" localSheetId="10">#REF!</definedName>
    <definedName name="_LO25" localSheetId="11">#REF!</definedName>
    <definedName name="_LO25" localSheetId="12">#REF!</definedName>
    <definedName name="_LO25" localSheetId="13">#REF!</definedName>
    <definedName name="_LO25" localSheetId="2">#REF!</definedName>
    <definedName name="_LO25" localSheetId="3">#REF!</definedName>
    <definedName name="_LO25" localSheetId="5">#REF!</definedName>
    <definedName name="_LO25" localSheetId="6">#REF!</definedName>
    <definedName name="_LO25">#REF!</definedName>
    <definedName name="_xlfn.IFERROR" hidden="1">#NAME?</definedName>
    <definedName name="_xlfn.SINGLE" hidden="1">#NAME?</definedName>
    <definedName name="AbaDeprec">'Depreciação'!$A$1</definedName>
    <definedName name="AbaRemun" localSheetId="4">#REF!</definedName>
    <definedName name="AbaRemun" localSheetId="7">#REF!</definedName>
    <definedName name="AbaRemun" localSheetId="8">#REF!</definedName>
    <definedName name="AbaRemun" localSheetId="9">#REF!</definedName>
    <definedName name="AbaRemun" localSheetId="10">#REF!</definedName>
    <definedName name="AbaRemun" localSheetId="11">#REF!</definedName>
    <definedName name="AbaRemun" localSheetId="12">#REF!</definedName>
    <definedName name="AbaRemun" localSheetId="13">#REF!</definedName>
    <definedName name="AbaRemun" localSheetId="2">#REF!</definedName>
    <definedName name="AbaRemun" localSheetId="3">#REF!</definedName>
    <definedName name="AbaRemun" localSheetId="5">#REF!</definedName>
    <definedName name="AbaRemun" localSheetId="6">#REF!</definedName>
    <definedName name="AbaRemun">#REF!</definedName>
    <definedName name="_xlnm.Print_Area" localSheetId="14">'Encargos Sociais'!$A$1:$C$40</definedName>
    <definedName name="_xlnm.Print_Area" localSheetId="0">'Res'!$A$1:$J$26</definedName>
    <definedName name="sesi" localSheetId="4">#REF!</definedName>
    <definedName name="sesi" localSheetId="1">#REF!</definedName>
    <definedName name="sesi" localSheetId="7">#REF!</definedName>
    <definedName name="sesi" localSheetId="8">#REF!</definedName>
    <definedName name="sesi" localSheetId="9">#REF!</definedName>
    <definedName name="sesi" localSheetId="10">#REF!</definedName>
    <definedName name="sesi" localSheetId="11">#REF!</definedName>
    <definedName name="sesi" localSheetId="12">#REF!</definedName>
    <definedName name="sesi" localSheetId="13">#REF!</definedName>
    <definedName name="sesi" localSheetId="2">#REF!</definedName>
    <definedName name="sesi" localSheetId="3">#REF!</definedName>
    <definedName name="sesi" localSheetId="5">#REF!</definedName>
    <definedName name="sesi" localSheetId="6">#REF!</definedName>
    <definedName name="sesi" localSheetId="0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<sst xmlns="http://schemas.openxmlformats.org/spreadsheetml/2006/main" count="2312" uniqueCount="322">
  <si>
    <t>%</t>
  </si>
  <si>
    <t>mês</t>
  </si>
  <si>
    <t>unidade</t>
  </si>
  <si>
    <t>km</t>
  </si>
  <si>
    <t>Benefícios e despesas indiretas</t>
  </si>
  <si>
    <t>Custo (R$/mês)</t>
  </si>
  <si>
    <t>Quantidade</t>
  </si>
  <si>
    <t>INSS</t>
  </si>
  <si>
    <t>FGTS</t>
  </si>
  <si>
    <t>Planilha de Composição de Custos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</si>
  <si>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</si>
  <si>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</si>
  <si>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</si>
  <si>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</si>
  <si>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</si>
  <si>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</si>
  <si>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</si>
  <si>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</si>
  <si>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</si>
  <si>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</si>
  <si>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</si>
  <si>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</si>
  <si>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</si>
  <si>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</si>
  <si>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</si>
  <si>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</si>
  <si>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Vida útil do chassis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</si>
  <si>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</si>
  <si>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</si>
  <si>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</si>
  <si>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</si>
  <si>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</si>
  <si>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</si>
  <si>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</si>
  <si>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</si>
  <si>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</si>
  <si>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</si>
  <si>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</si>
  <si>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</si>
  <si>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</si>
  <si>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</si>
  <si>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</si>
  <si>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</si>
  <si>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</si>
  <si>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</si>
  <si>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</si>
  <si>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</si>
  <si>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</si>
  <si>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</si>
  <si>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</si>
  <si>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</si>
  <si>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</si>
  <si>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</si>
  <si>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</si>
  <si>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</si>
  <si>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</si>
  <si>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</si>
  <si>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</si>
  <si>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</si>
  <si>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</si>
  <si>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</si>
  <si>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</si>
  <si>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</si>
  <si>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</si>
  <si>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</si>
  <si>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</si>
  <si>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</si>
  <si>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</si>
  <si>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</si>
  <si>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</si>
  <si>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</si>
  <si>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</si>
  <si>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</si>
  <si>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</si>
  <si>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</si>
  <si>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</si>
  <si>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</si>
  <si>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</si>
  <si>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</si>
  <si>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</si>
  <si>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</si>
  <si>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</si>
  <si>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</si>
  <si>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</si>
  <si>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</si>
  <si>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2. Preencher somente células em amarelo</t>
  </si>
  <si>
    <t>Idade do veículo (ano)</t>
  </si>
  <si>
    <t>Idade do veículo</t>
  </si>
  <si>
    <t>C2</t>
  </si>
  <si>
    <t>B3</t>
  </si>
  <si>
    <t xml:space="preserve">2. Composição dos Encargos Sociais </t>
  </si>
  <si>
    <t>Custo unitário</t>
  </si>
  <si>
    <t>Referência estudo TCE</t>
  </si>
  <si>
    <t>1. Esta planilha é somente um modelo-base e deve ser ajustada conforme cada caso concreto.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</si>
  <si>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</si>
  <si>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</si>
  <si>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</si>
  <si>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</si>
  <si>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</si>
  <si>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</si>
  <si>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</si>
  <si>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</si>
  <si>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Tributos - PIS/COFINS/ e CPP se houver</t>
  </si>
  <si>
    <t>Valor R$</t>
  </si>
  <si>
    <t>TURNO</t>
  </si>
  <si>
    <t>TOTAL</t>
  </si>
  <si>
    <t>ALUNOS</t>
  </si>
  <si>
    <t>Km pavimentado</t>
  </si>
  <si>
    <t>Km total</t>
  </si>
  <si>
    <t>Tempo conduzindo o veículo</t>
  </si>
  <si>
    <t xml:space="preserve">Total horas </t>
  </si>
  <si>
    <t>Horas p/base de cálculo de custos</t>
  </si>
  <si>
    <t>Tempo total (horas)</t>
  </si>
  <si>
    <t>R$ seguro / aluno /mês</t>
  </si>
  <si>
    <t>Veículo</t>
  </si>
  <si>
    <t xml:space="preserve">Média de dias letivos/mês </t>
  </si>
  <si>
    <t>1- CUSTO VARIÁVEL</t>
  </si>
  <si>
    <t>TOTAL (Comb + Manut)</t>
  </si>
  <si>
    <t xml:space="preserve">2 - TOTAL CUSTO FIXO MENSAL </t>
  </si>
  <si>
    <t>SALÁRIO</t>
  </si>
  <si>
    <t>% Encargos</t>
  </si>
  <si>
    <t>Custo Mensal</t>
  </si>
  <si>
    <t xml:space="preserve">Meses </t>
  </si>
  <si>
    <t>SEGURO OBRIGATÓRIO ANUAL</t>
  </si>
  <si>
    <t>LICENCIAMENTO ANUAL</t>
  </si>
  <si>
    <t>Vale Refeição R$</t>
  </si>
  <si>
    <t xml:space="preserve">Dias Mês </t>
  </si>
  <si>
    <t>DEPRECIAÇÃO ANUAL</t>
  </si>
  <si>
    <t xml:space="preserve">Custo Anual por motorista </t>
  </si>
  <si>
    <t>SEGURO TERCEIROS/ALUNOS ANO</t>
  </si>
  <si>
    <t>QUANT. DE MOTORISTAS</t>
  </si>
  <si>
    <t xml:space="preserve">Depreciação </t>
  </si>
  <si>
    <t>MOTORISTA CUSTO ANUAL</t>
  </si>
  <si>
    <t>TOTAL CUSTO FIXO ANO</t>
  </si>
  <si>
    <t>Custo  chassis</t>
  </si>
  <si>
    <t>2.1 TOTAL CUSTO FIXO MENSAL</t>
  </si>
  <si>
    <t>TAXA USO VEÍCULO</t>
  </si>
  <si>
    <t>Deprec. do chassis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</si>
  <si>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</si>
  <si>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</si>
  <si>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</si>
  <si>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 val="single"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</si>
  <si>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</si>
  <si>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</si>
  <si>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5- PREÇO MENSAL TOTAL COM O TRANSPORTE ESCOLAR </t>
  </si>
  <si>
    <t xml:space="preserve">PREÇO MÁXIMO POR QUILÔMETRO RODADO </t>
  </si>
  <si>
    <t>Km total/dia</t>
  </si>
  <si>
    <t xml:space="preserve">Média de dias letivos mês </t>
  </si>
  <si>
    <t>km total/mês</t>
  </si>
  <si>
    <t xml:space="preserve">Custo por quilômetro rodado </t>
  </si>
  <si>
    <r>
      <t>b)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Percurso de: </t>
    </r>
  </si>
  <si>
    <t>quilômetros diários;</t>
  </si>
  <si>
    <r>
      <t>d)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Valor máximo por quilômetro rodado</t>
    </r>
  </si>
  <si>
    <t xml:space="preserve">Memória de cálculo dos custos de transportes escolares </t>
  </si>
  <si>
    <t xml:space="preserve">&gt;  Número de alunos - determinado conforme arquivo em Anexo (Rotas no Processo de Licitação)  </t>
  </si>
  <si>
    <t xml:space="preserve">&gt;  Turno de aula dos alunos - determinado pela Secretaria de Educação, conforme matriculas dos alunos.  </t>
  </si>
  <si>
    <t xml:space="preserve">&gt;  Distância percorrida da rota - determinado conforme arquivo em Anexo (Rotas no Processo de Licitação)  </t>
  </si>
  <si>
    <t xml:space="preserve">&gt;  Tempo conduzindo o veículo - se refere ao tempo entre o início do roteiro até a chegada ao colégio e o retorno.   </t>
  </si>
  <si>
    <t xml:space="preserve">&gt;  Tempo total de horas - é o somatório do tempo conduzindo o veículo mais o tempo de espera.  </t>
  </si>
  <si>
    <t>&gt;  Idade dos veículos -</t>
  </si>
  <si>
    <t>&gt; Seguro Obrigatório - Valor apurado conforme pesquisa junto ao Detran/RS.</t>
  </si>
  <si>
    <t>&gt; Licenciamento - Valor apurado conforme pesquisa junto ao Detran/RS.</t>
  </si>
  <si>
    <t xml:space="preserve">&gt; Custo do motorista - Foi determinado conforme tempo conduzindo o veículo nas rotas, bem como do tempo de </t>
  </si>
  <si>
    <t xml:space="preserve">Obs: Cada empresa deve prever os encargos sociais de acordo com a sua natureza jurídica.  </t>
  </si>
  <si>
    <t xml:space="preserve">&gt; Custo fixo total anual - contempla o somatório total dos custos fixos.  </t>
  </si>
  <si>
    <t>&gt; Custo fixo total mensal - contempla o somatório total dos custos fixos, dividido pelo número de 10 meses que é</t>
  </si>
  <si>
    <t xml:space="preserve">o período do ano letivo.  </t>
  </si>
  <si>
    <t xml:space="preserve">Obs: Cada empresa deve prever os Benefícios e Despesas Indiretas de acordo com a sua natureza jurídica.  </t>
  </si>
  <si>
    <t xml:space="preserve">&gt; Preço mensal total com transporte escolar - é o somatório das despesas operacionais, mais o BDI, para </t>
  </si>
  <si>
    <t>20 dias de aula no mês, sendo que o valor pode variar dependo do aumento ou a diminuição do número de</t>
  </si>
  <si>
    <t xml:space="preserve">dias letivos no mês correspondente.  </t>
  </si>
  <si>
    <t xml:space="preserve">&gt; Preço máximo por quilômetro rodado - é o preço mensal total com o transporte escolar, dividido pela </t>
  </si>
  <si>
    <t>ECZ, Assessoria, Consultoria e Treinamento Ltda</t>
  </si>
  <si>
    <t xml:space="preserve">Alunos </t>
  </si>
  <si>
    <t>Kms dia</t>
  </si>
  <si>
    <t xml:space="preserve">Dias/Mês 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</si>
  <si>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</si>
  <si>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</si>
  <si>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</si>
  <si>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</si>
  <si>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</si>
  <si>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>Custo aluno/ano</t>
  </si>
  <si>
    <t xml:space="preserve">Total </t>
  </si>
  <si>
    <t xml:space="preserve">Obs: Cada empresa deve prever os Benefícios e Despesas Indiretas de acordo com  </t>
  </si>
  <si>
    <t xml:space="preserve">a sua natureza jurídica. </t>
  </si>
  <si>
    <t xml:space="preserve">&gt;  Preço por litro do combustível - conforme preço médio determinado pela ANP.  </t>
  </si>
  <si>
    <t xml:space="preserve">1. Preencha previamente os dados de entrada na planilha </t>
  </si>
  <si>
    <t xml:space="preserve">&gt; Valor do veículo - Determinado pelo valor da FIPE de um veículo com idade média. </t>
  </si>
  <si>
    <t xml:space="preserve">&gt; Vistorias obrigatórias semestrais - Certificado de inspeção de segurança veicular, emitido por empresa credenciada Inmetro, </t>
  </si>
  <si>
    <t xml:space="preserve">média de previsão, em virtude de paradas para embarque e desembarque de alunos e também por ser </t>
  </si>
  <si>
    <t xml:space="preserve">parte das vias sem pavimentação.   </t>
  </si>
  <si>
    <t>VISTÓRIAS SEMESTRAIS (02 ANO)</t>
  </si>
  <si>
    <r>
      <t xml:space="preserve">&gt; Custo do Capital Investido - determinado pelo valor do veículo multiplicado pela  Taxa </t>
    </r>
    <r>
      <rPr>
        <u val="single"/>
        <sz val="14"/>
        <rFont val="Arial"/>
        <family val="2"/>
      </rPr>
      <t xml:space="preserve">Selic atual.  </t>
    </r>
  </si>
  <si>
    <t xml:space="preserve">Manhã </t>
  </si>
  <si>
    <t xml:space="preserve">Tarde </t>
  </si>
  <si>
    <t xml:space="preserve">Previsão de kms/mês </t>
  </si>
  <si>
    <t xml:space="preserve">Custo do jogo de pneus </t>
  </si>
  <si>
    <t>Custo de recapagem</t>
  </si>
  <si>
    <t>km/jogo</t>
  </si>
  <si>
    <t>Custo mensal com pneus</t>
  </si>
  <si>
    <t>Nº de recapagens por pneu</t>
  </si>
  <si>
    <t>1.3 Pneus</t>
  </si>
  <si>
    <t xml:space="preserve">1.1 Combustível </t>
  </si>
  <si>
    <t xml:space="preserve">1.2 Manutenção e insumos </t>
  </si>
  <si>
    <t>&gt;  Combustível - óleo diesel, conforme determinado no manual do fabricante e da definição do veículo a ser utilizado</t>
  </si>
  <si>
    <t>1.1 Combustível  R$/litro conforme tabela ANP</t>
  </si>
  <si>
    <t xml:space="preserve">1.2 Custo de manutenção e insumos por km rodado </t>
  </si>
  <si>
    <t xml:space="preserve">&gt;  Custo de manutenção - considerado o custo por km/rodado pela média de mercado.   </t>
  </si>
  <si>
    <t xml:space="preserve">&gt;  Custo de pneus - considerado o custo por km/rodado pela média de mercado com 02 recapagens.  </t>
  </si>
  <si>
    <t xml:space="preserve">&gt; Taxa de uso do veículo - foi considerado o tempo de horas trabalhadas na semana pelo total de horas previstas na convenção.  </t>
  </si>
  <si>
    <t>Plano de Saúde</t>
  </si>
  <si>
    <t xml:space="preserve">Total de Kms/litro previsão de consumo </t>
  </si>
  <si>
    <r>
      <t>c)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Turno –  manhã </t>
    </r>
  </si>
  <si>
    <t xml:space="preserve">Os encargos sociais foram determinados conforme legislação vigente, o vale refeição foi determinado conforme convenção coletiva. </t>
  </si>
  <si>
    <t xml:space="preserve">&gt; BDI - Benefícios e Despesas Indiretas - foram determinados em estudo de mercado e ajustado conforme legislação atual.   </t>
  </si>
  <si>
    <t>Custo jg. compl. + 2 recap./ km rodado</t>
  </si>
  <si>
    <t xml:space="preserve">quilometragem média percorrida no mês.  </t>
  </si>
  <si>
    <t xml:space="preserve">Vistoria DETRAN, Certificado de registro e licenciamento veicular (CRLV) e tacógrafo. Valores conforme preço de mercado.  </t>
  </si>
  <si>
    <t xml:space="preserve">Kms percorridos por dia 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</si>
  <si>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Trajeto - Conforme Mapa em Anexo </t>
    </r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</si>
  <si>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Trajeto- Conforme Mapa em Anexo </t>
    </r>
  </si>
  <si>
    <t>Composição do BDI - Benefícios e Despesas Indiretas</t>
  </si>
  <si>
    <t>Depreciação Referencial (%)</t>
  </si>
  <si>
    <t>RESUMO DOS ITINERÁRIOS COM AS RESPECTIVAS ROTAS</t>
  </si>
  <si>
    <t>Resumo dos Itinerários</t>
  </si>
  <si>
    <t xml:space="preserve">PARAMÊTROS PARA CÁLCULO DE CUSTO DO ITINERÁRIO 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</si>
  <si>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Trajeto - Itinerário 1 - Conforme Mapa em Anexo </t>
    </r>
  </si>
  <si>
    <t xml:space="preserve">Itinerário 01 – Compreende as rotas:  </t>
  </si>
  <si>
    <t xml:space="preserve">Itinerário 03 – Compreende as rotas:  </t>
  </si>
  <si>
    <t xml:space="preserve">Itinerário 04 – Compreende as rotas:  </t>
  </si>
  <si>
    <t xml:space="preserve">Itinerário 07 – Compreende as rotas:  </t>
  </si>
  <si>
    <t xml:space="preserve">Itinerário 08 – Compreende as rotas:  </t>
  </si>
  <si>
    <t xml:space="preserve">Itinerário 09 – Compreende as rotas:  </t>
  </si>
  <si>
    <t xml:space="preserve">Meio Dia </t>
  </si>
  <si>
    <t>Noite</t>
  </si>
  <si>
    <t>Tempo total conduzindo o veículo</t>
  </si>
  <si>
    <t xml:space="preserve">média de previsão, em virtude de paradas para embarque e desembarque de alunos.   </t>
  </si>
  <si>
    <t xml:space="preserve">Obs: boa parte das vias com pavimentação.   </t>
  </si>
  <si>
    <t xml:space="preserve">média de previsão, em virtude de paradas para embarque e desembarque de alunos e também por ser a maior parte </t>
  </si>
  <si>
    <t xml:space="preserve">das vias sem pavimentação.   </t>
  </si>
  <si>
    <t>Diferença</t>
  </si>
  <si>
    <t>KM Antigo (dia)</t>
  </si>
  <si>
    <t>Veículo no mínimo de 24 lugares</t>
  </si>
  <si>
    <t>R$/km Ant</t>
  </si>
  <si>
    <t xml:space="preserve">Diferença </t>
  </si>
  <si>
    <t>Valor ant</t>
  </si>
  <si>
    <t>Dif. %</t>
  </si>
  <si>
    <t>&gt;  Média de dias letivos/mês = total de dias letivos ano (200 dias) dividido por 10 meses (período de aula)</t>
  </si>
  <si>
    <t xml:space="preserve">espera até à próxima rota. O valor foi determinado conforme convenção coletiva da categoria de trabalho. </t>
  </si>
  <si>
    <t xml:space="preserve">&gt; Custo total com despesas operacionais - contempla o somatário das despesas fixas e variáveis.  </t>
  </si>
  <si>
    <t>&gt;  Veículo - ônibus</t>
  </si>
  <si>
    <t>0:40 horas</t>
  </si>
  <si>
    <t>0:50 horas</t>
  </si>
  <si>
    <t>1:15 horas</t>
  </si>
  <si>
    <t>1:00 horas</t>
  </si>
  <si>
    <t>0:55 horas</t>
  </si>
  <si>
    <t>0:35 horas</t>
  </si>
  <si>
    <t xml:space="preserve"> conforme pesquisa de mercado (considerado 2/3 sobre a </t>
  </si>
  <si>
    <t xml:space="preserve">&gt;  Km/litro - foi determinado a média de </t>
  </si>
  <si>
    <t xml:space="preserve">Km/litro </t>
  </si>
  <si>
    <t>&gt;  Veículo - micro-onibus</t>
  </si>
  <si>
    <t xml:space="preserve">Itinerário 05 – Compreende as rotas:  </t>
  </si>
  <si>
    <t xml:space="preserve">Itinerário 11 – Compreende as rotas:  </t>
  </si>
  <si>
    <t xml:space="preserve">Itinerário 12 – Compreende as rotas:  </t>
  </si>
  <si>
    <t xml:space="preserve">Itinerário 10 – Compreende as rotas:  </t>
  </si>
  <si>
    <t>Veículo no mínimo de 22 lugares</t>
  </si>
  <si>
    <t>Veículo no mínimo de 45 lugares</t>
  </si>
  <si>
    <t>Veículo no mínimo de 16 lugares</t>
  </si>
  <si>
    <t>Veículo no mínimo de 26 lugares</t>
  </si>
  <si>
    <t>Serviço de Transporte Escolar - Não-Me-Toque/RS</t>
  </si>
  <si>
    <t>Veículo no mínimo de 15 lugares</t>
  </si>
  <si>
    <t xml:space="preserve">Veículo no mínimo de 46 lugares  </t>
  </si>
  <si>
    <t>Veículo no mínimo de 46 lugares</t>
  </si>
  <si>
    <t xml:space="preserve">Linhas </t>
  </si>
  <si>
    <t>PREGÃO PRESENCIAL   /2023</t>
  </si>
  <si>
    <t>LINHA 21</t>
  </si>
  <si>
    <t>LINHA 1</t>
  </si>
  <si>
    <t>1:20 horas</t>
  </si>
  <si>
    <t>Veículo no máximo 25 anos de uso (fabricação acima de 1998) - Base Tabela FIPE</t>
  </si>
  <si>
    <t>LINHA 3</t>
  </si>
  <si>
    <t>LINHA 7</t>
  </si>
  <si>
    <t>1:35 horas</t>
  </si>
  <si>
    <t>&gt;  Veículo - Kombi, ou van</t>
  </si>
  <si>
    <t xml:space="preserve">Linha 02 – Compreende as rotas:  </t>
  </si>
  <si>
    <t>LINHA 4</t>
  </si>
  <si>
    <t xml:space="preserve">1:25 horas </t>
  </si>
  <si>
    <t>1:10 horas</t>
  </si>
  <si>
    <t>1:15horas</t>
  </si>
  <si>
    <t>LINHA 8</t>
  </si>
  <si>
    <t>1:55 horas</t>
  </si>
  <si>
    <t>LINHA 9</t>
  </si>
  <si>
    <t>1:50 horas</t>
  </si>
  <si>
    <t xml:space="preserve">1:40 horas </t>
  </si>
  <si>
    <t xml:space="preserve">Linha 9 – Compreende as rotas:  </t>
  </si>
  <si>
    <t>&gt;  Veículo - van, ou kombi</t>
  </si>
  <si>
    <t>0:42 horas</t>
  </si>
  <si>
    <t xml:space="preserve">Dif. Mês </t>
  </si>
  <si>
    <t xml:space="preserve">Difer. Ano </t>
  </si>
  <si>
    <t>Total Atual</t>
  </si>
  <si>
    <t>LINHA 14</t>
  </si>
  <si>
    <t>2:35 horas</t>
  </si>
  <si>
    <t>2:20 horas</t>
  </si>
  <si>
    <t>2:10 horas</t>
  </si>
  <si>
    <t>2:05 horas</t>
  </si>
  <si>
    <t>&gt;  Veículo - micro-ônibus</t>
  </si>
  <si>
    <t>1:40 horas</t>
  </si>
  <si>
    <t>LINHA 10</t>
  </si>
  <si>
    <t>LINHA 12</t>
  </si>
  <si>
    <t>LINHA 13</t>
  </si>
  <si>
    <t>LINHA 15</t>
  </si>
  <si>
    <t>LINHA 20</t>
  </si>
  <si>
    <t>kms/hr</t>
  </si>
  <si>
    <t>CUSTO CAPITAL INV. ANO (13,75%)</t>
  </si>
  <si>
    <t>1:05 horas</t>
  </si>
  <si>
    <t>Tempo de espera (2:00 horas por turno e 3:30 horas por 2 turnos)</t>
  </si>
  <si>
    <t xml:space="preserve">&gt; Seguro de Terceiros/alunos ano - Conforme estudo junto ao mercado. Valor de cobertura </t>
  </si>
  <si>
    <t xml:space="preserve">total deve ser de no mínimo de 300 mil reais.  </t>
  </si>
  <si>
    <t xml:space="preserve">&gt; Depreciação anual - Considerando que uma vida útil de 15 anos possuí depreciação, foi utilizado conforme referencial.  </t>
  </si>
  <si>
    <t>&gt;  Veículo -  kombi, ou vans</t>
  </si>
  <si>
    <t xml:space="preserve">&gt;  Veículo - vans </t>
  </si>
  <si>
    <t>&gt;  Veículo - Micro-ônibus</t>
  </si>
  <si>
    <t>Não-Me-Toque, 23 de Janeiro de 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</si>
</sst>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 &quot;#,##0.00"/>
    <numFmt numFmtId="173" formatCode="_-* #,##0.0_-;\-* #,##0.0_-;_-* &quot;-&quot;??_-;_-@_-"/>
    <numFmt numFmtId="174" formatCode="_ * #,##0.00_ ;_ * \-#,##0.00_ ;_ * &quot;-&quot;??_ ;_ @_ "/>
    <numFmt numFmtId="175" formatCode="#,##0.00;[Red]#,##0.00"/>
    <numFmt numFmtId="176" formatCode="0.000"/>
    <numFmt numFmtId="177" formatCode="#,##0.000"/>
    <numFmt numFmtId="178" formatCode="_(&quot;R$ &quot;* #,##0.00_);_(&quot;R$ &quot;* \(#,##0.00\);_(&quot;R$ &quot;* &quot;-&quot;??_);_(@_)"/>
    <numFmt numFmtId="179" formatCode="#,##0.00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0.0%"/>
    <numFmt numFmtId="186" formatCode="[$-416]dddd\,\ d&quot; de &quot;mmmm&quot; de &quot;yyyy"/>
    <numFmt numFmtId="187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4"/>
      <name val="Arial"/>
      <family val="2"/>
    </font>
    <font>
      <b/>
      <sz val="1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0" fontId="0" fillId="0" borderId="0" xfId="137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2" fontId="57" fillId="33" borderId="10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2" fontId="57" fillId="33" borderId="13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0" fontId="57" fillId="0" borderId="14" xfId="0" applyNumberFormat="1" applyFont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0" fontId="58" fillId="0" borderId="14" xfId="0" applyNumberFormat="1" applyFont="1" applyBorder="1" applyAlignment="1">
      <alignment horizontal="right" vertical="center"/>
    </xf>
    <xf numFmtId="0" fontId="57" fillId="34" borderId="11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left" vertical="center"/>
    </xf>
    <xf numFmtId="10" fontId="58" fillId="34" borderId="14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0" fontId="0" fillId="0" borderId="0" xfId="0" applyNumberFormat="1" applyFont="1" applyAlignment="1">
      <alignment/>
    </xf>
    <xf numFmtId="9" fontId="57" fillId="0" borderId="0" xfId="85" applyFont="1" applyBorder="1" applyAlignment="1">
      <alignment horizontal="right" vertical="center"/>
    </xf>
    <xf numFmtId="10" fontId="0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57" fillId="35" borderId="12" xfId="0" applyFont="1" applyFill="1" applyBorder="1" applyAlignment="1">
      <alignment horizontal="left" vertical="center"/>
    </xf>
    <xf numFmtId="0" fontId="58" fillId="35" borderId="13" xfId="0" applyFont="1" applyFill="1" applyBorder="1" applyAlignment="1">
      <alignment horizontal="left" vertical="center"/>
    </xf>
    <xf numFmtId="10" fontId="58" fillId="35" borderId="15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10" fontId="58" fillId="0" borderId="0" xfId="0" applyNumberFormat="1" applyFont="1" applyFill="1" applyBorder="1" applyAlignment="1">
      <alignment horizontal="right" vertical="center"/>
    </xf>
    <xf numFmtId="0" fontId="60" fillId="36" borderId="0" xfId="0" applyFont="1" applyFill="1" applyBorder="1" applyAlignment="1">
      <alignment horizontal="left" vertical="center"/>
    </xf>
    <xf numFmtId="10" fontId="57" fillId="0" borderId="0" xfId="0" applyNumberFormat="1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10" fontId="57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10" fontId="58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justify" vertical="center"/>
    </xf>
    <xf numFmtId="0" fontId="6" fillId="0" borderId="0" xfId="44" applyFont="1" applyBorder="1" applyAlignment="1" applyProtection="1">
      <alignment horizontal="left" vertical="center"/>
      <protection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right" vertical="center"/>
    </xf>
    <xf numFmtId="0" fontId="6" fillId="0" borderId="0" xfId="44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9" fontId="4" fillId="0" borderId="11" xfId="85" applyFont="1" applyBorder="1" applyAlignment="1">
      <alignment/>
    </xf>
    <xf numFmtId="9" fontId="4" fillId="0" borderId="10" xfId="85" applyFont="1" applyBorder="1" applyAlignment="1">
      <alignment horizontal="center"/>
    </xf>
    <xf numFmtId="9" fontId="4" fillId="0" borderId="14" xfId="85" applyFont="1" applyBorder="1" applyAlignment="1">
      <alignment/>
    </xf>
    <xf numFmtId="10" fontId="4" fillId="0" borderId="14" xfId="85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0" fontId="4" fillId="37" borderId="14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37" borderId="10" xfId="85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0" fontId="4" fillId="37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0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/>
    </xf>
    <xf numFmtId="10" fontId="5" fillId="34" borderId="25" xfId="0" applyNumberFormat="1" applyFont="1" applyFill="1" applyBorder="1" applyAlignment="1">
      <alignment horizontal="center" vertical="center" wrapText="1"/>
    </xf>
    <xf numFmtId="10" fontId="4" fillId="0" borderId="11" xfId="85" applyNumberFormat="1" applyFont="1" applyBorder="1" applyAlignment="1">
      <alignment horizontal="right"/>
    </xf>
    <xf numFmtId="10" fontId="4" fillId="0" borderId="10" xfId="85" applyNumberFormat="1" applyFont="1" applyBorder="1" applyAlignment="1">
      <alignment horizontal="right"/>
    </xf>
    <xf numFmtId="10" fontId="4" fillId="0" borderId="14" xfId="85" applyNumberFormat="1" applyFont="1" applyBorder="1" applyAlignment="1">
      <alignment horizontal="right"/>
    </xf>
    <xf numFmtId="10" fontId="4" fillId="0" borderId="12" xfId="85" applyNumberFormat="1" applyFont="1" applyBorder="1" applyAlignment="1">
      <alignment horizontal="right"/>
    </xf>
    <xf numFmtId="10" fontId="4" fillId="0" borderId="13" xfId="85" applyNumberFormat="1" applyFont="1" applyBorder="1" applyAlignment="1">
      <alignment horizontal="right"/>
    </xf>
    <xf numFmtId="10" fontId="4" fillId="0" borderId="15" xfId="85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4" fontId="6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65" applyFont="1" applyFill="1" applyBorder="1" applyAlignment="1">
      <alignment/>
      <protection/>
    </xf>
    <xf numFmtId="4" fontId="3" fillId="0" borderId="0" xfId="65" applyFont="1" applyFill="1" applyBorder="1" applyAlignment="1">
      <alignment horizontal="center"/>
      <protection/>
    </xf>
    <xf numFmtId="4" fontId="0" fillId="0" borderId="0" xfId="65" applyFont="1">
      <alignment/>
      <protection/>
    </xf>
    <xf numFmtId="0" fontId="5" fillId="0" borderId="0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3" fillId="0" borderId="0" xfId="65" applyFont="1" applyFill="1" applyBorder="1" applyAlignment="1">
      <alignment horizontal="left"/>
      <protection/>
    </xf>
    <xf numFmtId="4" fontId="3" fillId="0" borderId="10" xfId="65" applyFont="1" applyBorder="1" applyAlignment="1">
      <alignment horizontal="left"/>
      <protection/>
    </xf>
    <xf numFmtId="4" fontId="3" fillId="0" borderId="10" xfId="65" applyFont="1" applyBorder="1" applyAlignment="1">
      <alignment horizontal="center"/>
      <protection/>
    </xf>
    <xf numFmtId="4" fontId="9" fillId="0" borderId="0" xfId="65" applyFont="1">
      <alignment/>
      <protection/>
    </xf>
    <xf numFmtId="0" fontId="9" fillId="38" borderId="10" xfId="65" applyNumberFormat="1" applyFont="1" applyFill="1" applyBorder="1" applyAlignment="1">
      <alignment horizontal="center"/>
      <protection/>
    </xf>
    <xf numFmtId="0" fontId="3" fillId="38" borderId="10" xfId="65" applyNumberFormat="1" applyFont="1" applyFill="1" applyBorder="1" applyAlignment="1">
      <alignment horizontal="center"/>
      <protection/>
    </xf>
    <xf numFmtId="4" fontId="9" fillId="0" borderId="10" xfId="65" applyFont="1" applyBorder="1" applyAlignment="1">
      <alignment horizontal="left"/>
      <protection/>
    </xf>
    <xf numFmtId="170" fontId="9" fillId="38" borderId="10" xfId="103" applyNumberFormat="1" applyFont="1" applyFill="1" applyBorder="1" applyAlignment="1">
      <alignment horizontal="center"/>
    </xf>
    <xf numFmtId="170" fontId="3" fillId="0" borderId="10" xfId="103" applyNumberFormat="1" applyFont="1" applyBorder="1" applyAlignment="1">
      <alignment horizontal="left"/>
    </xf>
    <xf numFmtId="170" fontId="3" fillId="38" borderId="10" xfId="103" applyNumberFormat="1" applyFont="1" applyFill="1" applyBorder="1" applyAlignment="1">
      <alignment horizontal="center"/>
    </xf>
    <xf numFmtId="170" fontId="3" fillId="0" borderId="10" xfId="103" applyNumberFormat="1" applyFont="1" applyBorder="1" applyAlignment="1">
      <alignment horizontal="center"/>
    </xf>
    <xf numFmtId="1" fontId="3" fillId="0" borderId="10" xfId="65" applyNumberFormat="1" applyFont="1" applyBorder="1" applyAlignment="1">
      <alignment horizontal="right"/>
      <protection/>
    </xf>
    <xf numFmtId="4" fontId="3" fillId="0" borderId="10" xfId="65" applyFont="1" applyBorder="1">
      <alignment/>
      <protection/>
    </xf>
    <xf numFmtId="170" fontId="3" fillId="0" borderId="10" xfId="103" applyNumberFormat="1" applyFont="1" applyBorder="1" applyAlignment="1">
      <alignment/>
    </xf>
    <xf numFmtId="177" fontId="9" fillId="0" borderId="0" xfId="65" applyNumberFormat="1" applyFont="1">
      <alignment/>
      <protection/>
    </xf>
    <xf numFmtId="4" fontId="9" fillId="0" borderId="0" xfId="65" applyFont="1" applyAlignment="1">
      <alignment horizontal="right"/>
      <protection/>
    </xf>
    <xf numFmtId="170" fontId="3" fillId="36" borderId="10" xfId="103" applyNumberFormat="1" applyFont="1" applyFill="1" applyBorder="1" applyAlignment="1">
      <alignment horizontal="center"/>
    </xf>
    <xf numFmtId="171" fontId="3" fillId="38" borderId="10" xfId="103" applyNumberFormat="1" applyFont="1" applyFill="1" applyBorder="1" applyAlignment="1">
      <alignment horizontal="center"/>
    </xf>
    <xf numFmtId="4" fontId="3" fillId="39" borderId="10" xfId="65" applyFont="1" applyFill="1" applyBorder="1" applyAlignment="1">
      <alignment/>
      <protection/>
    </xf>
    <xf numFmtId="4" fontId="3" fillId="39" borderId="10" xfId="65" applyFont="1" applyFill="1" applyBorder="1" applyAlignment="1">
      <alignment horizontal="center"/>
      <protection/>
    </xf>
    <xf numFmtId="170" fontId="9" fillId="0" borderId="0" xfId="103" applyNumberFormat="1" applyFont="1" applyBorder="1" applyAlignment="1">
      <alignment/>
    </xf>
    <xf numFmtId="4" fontId="9" fillId="0" borderId="0" xfId="65" applyFont="1" applyBorder="1">
      <alignment/>
      <protection/>
    </xf>
    <xf numFmtId="4" fontId="9" fillId="0" borderId="0" xfId="65" applyFont="1" applyFill="1" applyBorder="1">
      <alignment/>
      <protection/>
    </xf>
    <xf numFmtId="4" fontId="9" fillId="0" borderId="10" xfId="65" applyFont="1" applyBorder="1">
      <alignment/>
      <protection/>
    </xf>
    <xf numFmtId="4" fontId="3" fillId="0" borderId="10" xfId="65" applyNumberFormat="1" applyFont="1" applyBorder="1">
      <alignment/>
      <protection/>
    </xf>
    <xf numFmtId="4" fontId="3" fillId="0" borderId="0" xfId="65" applyNumberFormat="1" applyFont="1" applyBorder="1">
      <alignment/>
      <protection/>
    </xf>
    <xf numFmtId="4" fontId="3" fillId="0" borderId="0" xfId="65" applyFont="1" applyBorder="1" applyAlignment="1">
      <alignment horizontal="center"/>
      <protection/>
    </xf>
    <xf numFmtId="4" fontId="9" fillId="0" borderId="0" xfId="65" applyNumberFormat="1" applyFont="1" applyBorder="1">
      <alignment/>
      <protection/>
    </xf>
    <xf numFmtId="4" fontId="9" fillId="0" borderId="27" xfId="65" applyFont="1" applyBorder="1">
      <alignment/>
      <protection/>
    </xf>
    <xf numFmtId="4" fontId="9" fillId="0" borderId="0" xfId="65" applyNumberFormat="1" applyFont="1" applyFill="1" applyBorder="1">
      <alignment/>
      <protection/>
    </xf>
    <xf numFmtId="4" fontId="3" fillId="0" borderId="27" xfId="65" applyFont="1" applyBorder="1" applyAlignment="1">
      <alignment horizontal="center"/>
      <protection/>
    </xf>
    <xf numFmtId="4" fontId="9" fillId="0" borderId="10" xfId="65" applyNumberFormat="1" applyFont="1" applyFill="1" applyBorder="1">
      <alignment/>
      <protection/>
    </xf>
    <xf numFmtId="170" fontId="9" fillId="0" borderId="10" xfId="103" applyNumberFormat="1" applyFont="1" applyBorder="1" applyAlignment="1">
      <alignment horizontal="center"/>
    </xf>
    <xf numFmtId="4" fontId="9" fillId="0" borderId="10" xfId="65" applyNumberFormat="1" applyFont="1" applyBorder="1">
      <alignment/>
      <protection/>
    </xf>
    <xf numFmtId="3" fontId="9" fillId="0" borderId="10" xfId="65" applyNumberFormat="1" applyFont="1" applyBorder="1">
      <alignment/>
      <protection/>
    </xf>
    <xf numFmtId="170" fontId="9" fillId="0" borderId="10" xfId="103" applyNumberFormat="1" applyFont="1" applyBorder="1" applyAlignment="1">
      <alignment vertical="center" wrapText="1"/>
    </xf>
    <xf numFmtId="3" fontId="9" fillId="0" borderId="10" xfId="65" applyNumberFormat="1" applyFont="1" applyBorder="1" applyAlignment="1">
      <alignment horizontal="center"/>
      <protection/>
    </xf>
    <xf numFmtId="4" fontId="3" fillId="0" borderId="10" xfId="65" applyNumberFormat="1" applyFont="1" applyBorder="1" applyAlignment="1">
      <alignment horizontal="left"/>
      <protection/>
    </xf>
    <xf numFmtId="170" fontId="3" fillId="0" borderId="10" xfId="103" applyNumberFormat="1" applyFont="1" applyBorder="1" applyAlignment="1">
      <alignment vertical="center" wrapText="1"/>
    </xf>
    <xf numFmtId="4" fontId="9" fillId="38" borderId="10" xfId="65" applyNumberFormat="1" applyFont="1" applyFill="1" applyBorder="1">
      <alignment/>
      <protection/>
    </xf>
    <xf numFmtId="4" fontId="9" fillId="38" borderId="0" xfId="65" applyNumberFormat="1" applyFont="1" applyFill="1" applyBorder="1">
      <alignment/>
      <protection/>
    </xf>
    <xf numFmtId="4" fontId="3" fillId="0" borderId="28" xfId="65" applyFont="1" applyBorder="1" applyAlignment="1">
      <alignment vertical="center" wrapText="1"/>
      <protection/>
    </xf>
    <xf numFmtId="4" fontId="9" fillId="0" borderId="0" xfId="65" applyFont="1" applyAlignment="1">
      <alignment vertical="center" wrapText="1"/>
      <protection/>
    </xf>
    <xf numFmtId="4" fontId="7" fillId="40" borderId="29" xfId="65" applyFont="1" applyFill="1" applyBorder="1" applyAlignment="1">
      <alignment horizontal="center" vertical="center"/>
      <protection/>
    </xf>
    <xf numFmtId="4" fontId="7" fillId="40" borderId="30" xfId="65" applyFont="1" applyFill="1" applyBorder="1" applyAlignment="1">
      <alignment horizontal="center" vertical="center"/>
      <protection/>
    </xf>
    <xf numFmtId="170" fontId="7" fillId="40" borderId="30" xfId="103" applyNumberFormat="1" applyFont="1" applyFill="1" applyBorder="1" applyAlignment="1">
      <alignment horizontal="center" vertical="center"/>
    </xf>
    <xf numFmtId="4" fontId="0" fillId="0" borderId="27" xfId="65" applyFont="1" applyBorder="1" applyAlignment="1">
      <alignment vertical="center"/>
      <protection/>
    </xf>
    <xf numFmtId="4" fontId="9" fillId="0" borderId="27" xfId="65" applyFont="1" applyBorder="1" applyAlignment="1">
      <alignment horizontal="center" vertical="center"/>
      <protection/>
    </xf>
    <xf numFmtId="3" fontId="9" fillId="0" borderId="27" xfId="65" applyNumberFormat="1" applyFont="1" applyFill="1" applyBorder="1" applyAlignment="1">
      <alignment horizontal="center" vertical="center"/>
      <protection/>
    </xf>
    <xf numFmtId="170" fontId="9" fillId="37" borderId="27" xfId="103" applyNumberFormat="1" applyFont="1" applyFill="1" applyBorder="1" applyAlignment="1">
      <alignment horizontal="center" vertical="center"/>
    </xf>
    <xf numFmtId="170" fontId="9" fillId="0" borderId="27" xfId="103" applyNumberFormat="1" applyFont="1" applyBorder="1" applyAlignment="1">
      <alignment horizontal="center" vertical="center"/>
    </xf>
    <xf numFmtId="4" fontId="0" fillId="0" borderId="10" xfId="65" applyFont="1" applyBorder="1" applyAlignment="1">
      <alignment vertical="center"/>
      <protection/>
    </xf>
    <xf numFmtId="4" fontId="9" fillId="0" borderId="10" xfId="65" applyFont="1" applyBorder="1" applyAlignment="1">
      <alignment horizontal="center" vertical="center"/>
      <protection/>
    </xf>
    <xf numFmtId="3" fontId="9" fillId="0" borderId="10" xfId="65" applyNumberFormat="1" applyFont="1" applyFill="1" applyBorder="1" applyAlignment="1">
      <alignment horizontal="center" vertical="center"/>
      <protection/>
    </xf>
    <xf numFmtId="170" fontId="9" fillId="0" borderId="10" xfId="103" applyNumberFormat="1" applyFont="1" applyFill="1" applyBorder="1" applyAlignment="1">
      <alignment horizontal="center" vertical="center"/>
    </xf>
    <xf numFmtId="170" fontId="9" fillId="0" borderId="10" xfId="103" applyNumberFormat="1" applyFont="1" applyBorder="1" applyAlignment="1">
      <alignment horizontal="center" vertical="center"/>
    </xf>
    <xf numFmtId="4" fontId="3" fillId="0" borderId="10" xfId="65" applyFont="1" applyFill="1" applyBorder="1">
      <alignment/>
      <protection/>
    </xf>
    <xf numFmtId="2" fontId="3" fillId="0" borderId="10" xfId="65" applyNumberFormat="1" applyFont="1" applyFill="1" applyBorder="1">
      <alignment/>
      <protection/>
    </xf>
    <xf numFmtId="2" fontId="3" fillId="0" borderId="0" xfId="65" applyNumberFormat="1" applyFont="1" applyFill="1" applyBorder="1">
      <alignment/>
      <protection/>
    </xf>
    <xf numFmtId="3" fontId="9" fillId="37" borderId="10" xfId="65" applyNumberFormat="1" applyFont="1" applyFill="1" applyBorder="1" applyAlignment="1">
      <alignment horizontal="center" vertical="center"/>
      <protection/>
    </xf>
    <xf numFmtId="170" fontId="9" fillId="41" borderId="10" xfId="103" applyNumberFormat="1" applyFont="1" applyFill="1" applyBorder="1" applyAlignment="1">
      <alignment horizontal="center" vertical="center"/>
    </xf>
    <xf numFmtId="4" fontId="2" fillId="0" borderId="31" xfId="65" applyFont="1" applyBorder="1" applyAlignment="1">
      <alignment vertical="center"/>
      <protection/>
    </xf>
    <xf numFmtId="4" fontId="3" fillId="0" borderId="31" xfId="65" applyFont="1" applyBorder="1" applyAlignment="1">
      <alignment horizontal="center" vertical="center"/>
      <protection/>
    </xf>
    <xf numFmtId="3" fontId="3" fillId="0" borderId="31" xfId="65" applyNumberFormat="1" applyFont="1" applyBorder="1" applyAlignment="1">
      <alignment horizontal="center" vertical="center"/>
      <protection/>
    </xf>
    <xf numFmtId="170" fontId="3" fillId="0" borderId="31" xfId="103" applyNumberFormat="1" applyFont="1" applyBorder="1" applyAlignment="1">
      <alignment horizontal="center" vertical="center"/>
    </xf>
    <xf numFmtId="4" fontId="3" fillId="0" borderId="10" xfId="65" applyNumberFormat="1" applyFont="1" applyFill="1" applyBorder="1">
      <alignment/>
      <protection/>
    </xf>
    <xf numFmtId="0" fontId="0" fillId="0" borderId="0" xfId="65" applyNumberFormat="1" applyFont="1" applyAlignment="1">
      <alignment vertical="center"/>
      <protection/>
    </xf>
    <xf numFmtId="170" fontId="0" fillId="0" borderId="0" xfId="103" applyNumberFormat="1" applyFont="1" applyAlignment="1">
      <alignment vertical="center"/>
    </xf>
    <xf numFmtId="0" fontId="3" fillId="40" borderId="32" xfId="65" applyNumberFormat="1" applyFont="1" applyFill="1" applyBorder="1" applyAlignment="1">
      <alignment horizontal="center" vertical="center"/>
      <protection/>
    </xf>
    <xf numFmtId="0" fontId="3" fillId="40" borderId="30" xfId="65" applyNumberFormat="1" applyFont="1" applyFill="1" applyBorder="1" applyAlignment="1">
      <alignment horizontal="center" vertical="center"/>
      <protection/>
    </xf>
    <xf numFmtId="170" fontId="3" fillId="40" borderId="30" xfId="103" applyNumberFormat="1" applyFont="1" applyFill="1" applyBorder="1" applyAlignment="1">
      <alignment horizontal="center" vertical="center"/>
    </xf>
    <xf numFmtId="170" fontId="3" fillId="40" borderId="33" xfId="103" applyNumberFormat="1" applyFont="1" applyFill="1" applyBorder="1" applyAlignment="1">
      <alignment horizontal="center" vertical="center"/>
    </xf>
    <xf numFmtId="10" fontId="0" fillId="0" borderId="0" xfId="91" applyNumberFormat="1" applyFont="1" applyAlignment="1">
      <alignment/>
    </xf>
    <xf numFmtId="0" fontId="3" fillId="0" borderId="27" xfId="65" applyNumberFormat="1" applyFont="1" applyBorder="1" applyAlignment="1">
      <alignment vertical="center"/>
      <protection/>
    </xf>
    <xf numFmtId="0" fontId="0" fillId="0" borderId="27" xfId="65" applyNumberFormat="1" applyFont="1" applyBorder="1" applyAlignment="1">
      <alignment horizontal="center" vertical="center"/>
      <protection/>
    </xf>
    <xf numFmtId="10" fontId="9" fillId="41" borderId="10" xfId="91" applyNumberFormat="1" applyFont="1" applyFill="1" applyBorder="1" applyAlignment="1">
      <alignment horizontal="center" vertical="center"/>
    </xf>
    <xf numFmtId="170" fontId="9" fillId="0" borderId="0" xfId="103" applyNumberFormat="1" applyFont="1" applyAlignment="1">
      <alignment vertical="center"/>
    </xf>
    <xf numFmtId="0" fontId="9" fillId="0" borderId="10" xfId="65" applyNumberFormat="1" applyFont="1" applyBorder="1" applyAlignment="1">
      <alignment vertical="center"/>
      <protection/>
    </xf>
    <xf numFmtId="0" fontId="0" fillId="0" borderId="10" xfId="65" applyNumberFormat="1" applyFont="1" applyBorder="1" applyAlignment="1">
      <alignment vertical="center"/>
      <protection/>
    </xf>
    <xf numFmtId="10" fontId="9" fillId="0" borderId="10" xfId="91" applyNumberFormat="1" applyFont="1" applyBorder="1" applyAlignment="1">
      <alignment vertical="center"/>
    </xf>
    <xf numFmtId="170" fontId="9" fillId="0" borderId="10" xfId="103" applyNumberFormat="1" applyFont="1" applyBorder="1" applyAlignment="1">
      <alignment vertical="center"/>
    </xf>
    <xf numFmtId="44" fontId="3" fillId="40" borderId="25" xfId="49" applyFont="1" applyFill="1" applyBorder="1" applyAlignment="1">
      <alignment horizontal="center" vertical="center"/>
    </xf>
    <xf numFmtId="0" fontId="9" fillId="0" borderId="0" xfId="65" applyNumberFormat="1" applyFont="1" applyAlignment="1">
      <alignment vertical="center"/>
      <protection/>
    </xf>
    <xf numFmtId="0" fontId="3" fillId="0" borderId="23" xfId="65" applyNumberFormat="1" applyFont="1" applyBorder="1" applyAlignment="1">
      <alignment vertical="center"/>
      <protection/>
    </xf>
    <xf numFmtId="0" fontId="0" fillId="0" borderId="24" xfId="65" applyNumberFormat="1" applyFont="1" applyBorder="1" applyAlignment="1">
      <alignment vertical="center"/>
      <protection/>
    </xf>
    <xf numFmtId="0" fontId="9" fillId="0" borderId="24" xfId="65" applyNumberFormat="1" applyFont="1" applyBorder="1" applyAlignment="1">
      <alignment vertical="center"/>
      <protection/>
    </xf>
    <xf numFmtId="170" fontId="9" fillId="0" borderId="24" xfId="103" applyNumberFormat="1" applyFont="1" applyBorder="1" applyAlignment="1">
      <alignment vertical="center"/>
    </xf>
    <xf numFmtId="170" fontId="9" fillId="0" borderId="25" xfId="103" applyNumberFormat="1" applyFont="1" applyBorder="1" applyAlignment="1">
      <alignment vertical="center"/>
    </xf>
    <xf numFmtId="44" fontId="3" fillId="40" borderId="28" xfId="49" applyFont="1" applyFill="1" applyBorder="1" applyAlignment="1">
      <alignment horizontal="center" vertical="center"/>
    </xf>
    <xf numFmtId="170" fontId="0" fillId="0" borderId="24" xfId="103" applyNumberFormat="1" applyFont="1" applyBorder="1" applyAlignment="1">
      <alignment vertical="center"/>
    </xf>
    <xf numFmtId="170" fontId="0" fillId="0" borderId="25" xfId="103" applyNumberFormat="1" applyFont="1" applyBorder="1" applyAlignment="1">
      <alignment vertical="center"/>
    </xf>
    <xf numFmtId="44" fontId="3" fillId="40" borderId="28" xfId="49" applyFont="1" applyFill="1" applyBorder="1" applyAlignment="1">
      <alignment vertical="center"/>
    </xf>
    <xf numFmtId="4" fontId="3" fillId="0" borderId="32" xfId="65" applyFont="1" applyFill="1" applyBorder="1">
      <alignment/>
      <protection/>
    </xf>
    <xf numFmtId="4" fontId="3" fillId="0" borderId="33" xfId="65" applyNumberFormat="1" applyFont="1" applyFill="1" applyBorder="1">
      <alignment/>
      <protection/>
    </xf>
    <xf numFmtId="170" fontId="8" fillId="0" borderId="34" xfId="103" applyNumberFormat="1" applyFont="1" applyBorder="1" applyAlignment="1">
      <alignment horizontal="center" vertical="center"/>
    </xf>
    <xf numFmtId="170" fontId="11" fillId="0" borderId="35" xfId="103" applyNumberFormat="1" applyFont="1" applyBorder="1" applyAlignment="1">
      <alignment vertical="center"/>
    </xf>
    <xf numFmtId="170" fontId="8" fillId="0" borderId="36" xfId="103" applyNumberFormat="1" applyFont="1" applyBorder="1" applyAlignment="1">
      <alignment vertical="center"/>
    </xf>
    <xf numFmtId="170" fontId="3" fillId="0" borderId="36" xfId="103" applyNumberFormat="1" applyFont="1" applyBorder="1" applyAlignment="1">
      <alignment vertical="center"/>
    </xf>
    <xf numFmtId="170" fontId="8" fillId="0" borderId="14" xfId="103" applyNumberFormat="1" applyFont="1" applyBorder="1" applyAlignment="1">
      <alignment horizontal="center" vertical="center"/>
    </xf>
    <xf numFmtId="170" fontId="8" fillId="0" borderId="16" xfId="103" applyNumberFormat="1" applyFont="1" applyBorder="1" applyAlignment="1">
      <alignment vertical="center"/>
    </xf>
    <xf numFmtId="170" fontId="8" fillId="0" borderId="0" xfId="65" applyNumberFormat="1" applyFont="1" applyBorder="1" applyAlignment="1">
      <alignment vertical="center"/>
      <protection/>
    </xf>
    <xf numFmtId="170" fontId="8" fillId="0" borderId="0" xfId="103" applyNumberFormat="1" applyFont="1" applyBorder="1" applyAlignment="1">
      <alignment vertical="center"/>
    </xf>
    <xf numFmtId="170" fontId="8" fillId="0" borderId="37" xfId="103" applyNumberFormat="1" applyFont="1" applyBorder="1" applyAlignment="1">
      <alignment vertical="center"/>
    </xf>
    <xf numFmtId="10" fontId="8" fillId="0" borderId="14" xfId="91" applyNumberFormat="1" applyFont="1" applyBorder="1" applyAlignment="1">
      <alignment vertical="center"/>
    </xf>
    <xf numFmtId="170" fontId="11" fillId="0" borderId="34" xfId="103" applyNumberFormat="1" applyFont="1" applyBorder="1" applyAlignment="1">
      <alignment vertical="center"/>
    </xf>
    <xf numFmtId="170" fontId="11" fillId="0" borderId="35" xfId="65" applyNumberFormat="1" applyFont="1" applyBorder="1" applyAlignment="1">
      <alignment vertical="center"/>
      <protection/>
    </xf>
    <xf numFmtId="170" fontId="11" fillId="0" borderId="36" xfId="103" applyNumberFormat="1" applyFont="1" applyBorder="1" applyAlignment="1">
      <alignment vertical="center"/>
    </xf>
    <xf numFmtId="10" fontId="11" fillId="0" borderId="14" xfId="91" applyNumberFormat="1" applyFont="1" applyBorder="1" applyAlignment="1">
      <alignment vertical="center"/>
    </xf>
    <xf numFmtId="170" fontId="11" fillId="0" borderId="38" xfId="103" applyNumberFormat="1" applyFont="1" applyBorder="1" applyAlignment="1">
      <alignment vertical="center"/>
    </xf>
    <xf numFmtId="170" fontId="11" fillId="0" borderId="39" xfId="65" applyNumberFormat="1" applyFont="1" applyBorder="1" applyAlignment="1">
      <alignment vertical="center"/>
      <protection/>
    </xf>
    <xf numFmtId="170" fontId="11" fillId="0" borderId="39" xfId="103" applyNumberFormat="1" applyFont="1" applyBorder="1" applyAlignment="1">
      <alignment vertical="center"/>
    </xf>
    <xf numFmtId="170" fontId="11" fillId="0" borderId="40" xfId="103" applyNumberFormat="1" applyFont="1" applyBorder="1" applyAlignment="1">
      <alignment vertical="center"/>
    </xf>
    <xf numFmtId="170" fontId="11" fillId="0" borderId="10" xfId="103" applyNumberFormat="1" applyFont="1" applyBorder="1" applyAlignment="1">
      <alignment vertical="center"/>
    </xf>
    <xf numFmtId="170" fontId="8" fillId="0" borderId="38" xfId="103" applyNumberFormat="1" applyFont="1" applyBorder="1" applyAlignment="1">
      <alignment vertical="center"/>
    </xf>
    <xf numFmtId="170" fontId="8" fillId="0" borderId="34" xfId="103" applyNumberFormat="1" applyFont="1" applyBorder="1" applyAlignment="1">
      <alignment vertical="center"/>
    </xf>
    <xf numFmtId="170" fontId="8" fillId="0" borderId="35" xfId="103" applyNumberFormat="1" applyFont="1" applyBorder="1" applyAlignment="1">
      <alignment vertical="center"/>
    </xf>
    <xf numFmtId="170" fontId="8" fillId="0" borderId="40" xfId="103" applyNumberFormat="1" applyFont="1" applyBorder="1" applyAlignment="1">
      <alignment vertical="center"/>
    </xf>
    <xf numFmtId="170" fontId="8" fillId="0" borderId="34" xfId="103" applyNumberFormat="1" applyFont="1" applyBorder="1" applyAlignment="1">
      <alignment horizontal="left" vertical="center"/>
    </xf>
    <xf numFmtId="4" fontId="8" fillId="0" borderId="35" xfId="65" applyNumberFormat="1" applyFont="1" applyBorder="1" applyAlignment="1">
      <alignment horizontal="centerContinuous" vertical="center"/>
      <protection/>
    </xf>
    <xf numFmtId="170" fontId="8" fillId="0" borderId="20" xfId="103" applyNumberFormat="1" applyFont="1" applyBorder="1" applyAlignment="1">
      <alignment horizontal="left" vertical="center"/>
    </xf>
    <xf numFmtId="4" fontId="8" fillId="0" borderId="21" xfId="65" applyNumberFormat="1" applyFont="1" applyBorder="1" applyAlignment="1">
      <alignment horizontal="centerContinuous" vertical="center"/>
      <protection/>
    </xf>
    <xf numFmtId="170" fontId="8" fillId="0" borderId="21" xfId="103" applyNumberFormat="1" applyFont="1" applyBorder="1" applyAlignment="1">
      <alignment vertical="center"/>
    </xf>
    <xf numFmtId="170" fontId="8" fillId="0" borderId="41" xfId="103" applyNumberFormat="1" applyFont="1" applyBorder="1" applyAlignment="1">
      <alignment vertical="center"/>
    </xf>
    <xf numFmtId="172" fontId="8" fillId="0" borderId="41" xfId="65" applyNumberFormat="1" applyFont="1" applyBorder="1" applyAlignment="1">
      <alignment vertical="center"/>
      <protection/>
    </xf>
    <xf numFmtId="10" fontId="8" fillId="0" borderId="42" xfId="91" applyNumberFormat="1" applyFont="1" applyBorder="1" applyAlignment="1">
      <alignment vertical="center"/>
    </xf>
    <xf numFmtId="170" fontId="8" fillId="0" borderId="32" xfId="103" applyNumberFormat="1" applyFont="1" applyBorder="1" applyAlignment="1">
      <alignment horizontal="left" vertical="center"/>
    </xf>
    <xf numFmtId="4" fontId="8" fillId="0" borderId="30" xfId="65" applyNumberFormat="1" applyFont="1" applyBorder="1" applyAlignment="1">
      <alignment horizontal="centerContinuous" vertical="center"/>
      <protection/>
    </xf>
    <xf numFmtId="170" fontId="8" fillId="0" borderId="30" xfId="103" applyNumberFormat="1" applyFont="1" applyBorder="1" applyAlignment="1">
      <alignment vertical="center"/>
    </xf>
    <xf numFmtId="10" fontId="8" fillId="0" borderId="33" xfId="91" applyNumberFormat="1" applyFont="1" applyBorder="1" applyAlignment="1">
      <alignment vertical="center"/>
    </xf>
    <xf numFmtId="4" fontId="11" fillId="0" borderId="43" xfId="65" applyFont="1" applyBorder="1">
      <alignment/>
      <protection/>
    </xf>
    <xf numFmtId="4" fontId="11" fillId="0" borderId="44" xfId="65" applyFont="1" applyBorder="1">
      <alignment/>
      <protection/>
    </xf>
    <xf numFmtId="4" fontId="11" fillId="0" borderId="45" xfId="65" applyFont="1" applyBorder="1">
      <alignment/>
      <protection/>
    </xf>
    <xf numFmtId="4" fontId="8" fillId="0" borderId="11" xfId="65" applyFont="1" applyBorder="1">
      <alignment/>
      <protection/>
    </xf>
    <xf numFmtId="4" fontId="11" fillId="0" borderId="10" xfId="65" applyFont="1" applyBorder="1">
      <alignment/>
      <protection/>
    </xf>
    <xf numFmtId="4" fontId="8" fillId="0" borderId="14" xfId="65" applyFont="1" applyBorder="1">
      <alignment/>
      <protection/>
    </xf>
    <xf numFmtId="3" fontId="8" fillId="0" borderId="14" xfId="65" applyNumberFormat="1" applyFont="1" applyBorder="1">
      <alignment/>
      <protection/>
    </xf>
    <xf numFmtId="4" fontId="8" fillId="0" borderId="12" xfId="65" applyFont="1" applyBorder="1">
      <alignment/>
      <protection/>
    </xf>
    <xf numFmtId="4" fontId="8" fillId="0" borderId="13" xfId="65" applyFont="1" applyBorder="1">
      <alignment/>
      <protection/>
    </xf>
    <xf numFmtId="4" fontId="8" fillId="0" borderId="15" xfId="65" applyFont="1" applyBorder="1">
      <alignment/>
      <protection/>
    </xf>
    <xf numFmtId="4" fontId="11" fillId="0" borderId="0" xfId="65" applyFont="1" applyAlignment="1">
      <alignment horizontal="left"/>
      <protection/>
    </xf>
    <xf numFmtId="4" fontId="3" fillId="0" borderId="0" xfId="65" applyFont="1" applyAlignment="1">
      <alignment horizontal="left"/>
      <protection/>
    </xf>
    <xf numFmtId="4" fontId="3" fillId="37" borderId="0" xfId="65" applyFont="1" applyFill="1">
      <alignment/>
      <protection/>
    </xf>
    <xf numFmtId="4" fontId="3" fillId="0" borderId="0" xfId="65" applyFont="1">
      <alignment/>
      <protection/>
    </xf>
    <xf numFmtId="4" fontId="2" fillId="0" borderId="0" xfId="65" applyFont="1">
      <alignment/>
      <protection/>
    </xf>
    <xf numFmtId="178" fontId="5" fillId="37" borderId="0" xfId="57" applyNumberFormat="1" applyFont="1" applyFill="1" applyAlignment="1">
      <alignment/>
    </xf>
    <xf numFmtId="178" fontId="4" fillId="0" borderId="0" xfId="57" applyNumberFormat="1" applyFont="1" applyFill="1" applyAlignment="1">
      <alignment/>
    </xf>
    <xf numFmtId="4" fontId="8" fillId="0" borderId="0" xfId="65" applyFont="1" applyAlignment="1">
      <alignment horizontal="left"/>
      <protection/>
    </xf>
    <xf numFmtId="4" fontId="11" fillId="0" borderId="0" xfId="65" applyFont="1">
      <alignment/>
      <protection/>
    </xf>
    <xf numFmtId="4" fontId="14" fillId="0" borderId="0" xfId="65" applyFont="1">
      <alignment/>
      <protection/>
    </xf>
    <xf numFmtId="0" fontId="3" fillId="0" borderId="10" xfId="65" applyNumberFormat="1" applyFont="1" applyFill="1" applyBorder="1" applyAlignment="1">
      <alignment horizontal="center"/>
      <protection/>
    </xf>
    <xf numFmtId="170" fontId="3" fillId="0" borderId="10" xfId="105" applyNumberFormat="1" applyFont="1" applyFill="1" applyBorder="1" applyAlignment="1">
      <alignment horizontal="center"/>
    </xf>
    <xf numFmtId="10" fontId="3" fillId="0" borderId="10" xfId="87" applyNumberFormat="1" applyFont="1" applyFill="1" applyBorder="1" applyAlignment="1">
      <alignment horizontal="center"/>
    </xf>
    <xf numFmtId="0" fontId="3" fillId="0" borderId="46" xfId="65" applyNumberFormat="1" applyFont="1" applyFill="1" applyBorder="1" applyAlignment="1">
      <alignment horizontal="center"/>
      <protection/>
    </xf>
    <xf numFmtId="0" fontId="3" fillId="0" borderId="35" xfId="65" applyNumberFormat="1" applyFont="1" applyFill="1" applyBorder="1" applyAlignment="1">
      <alignment horizontal="center"/>
      <protection/>
    </xf>
    <xf numFmtId="4" fontId="3" fillId="0" borderId="35" xfId="65" applyFont="1" applyFill="1" applyBorder="1" applyAlignment="1">
      <alignment horizontal="right"/>
      <protection/>
    </xf>
    <xf numFmtId="170" fontId="3" fillId="0" borderId="36" xfId="105" applyNumberFormat="1" applyFont="1" applyFill="1" applyBorder="1" applyAlignment="1">
      <alignment/>
    </xf>
    <xf numFmtId="4" fontId="57" fillId="0" borderId="0" xfId="65" applyFont="1" applyFill="1" applyBorder="1" applyAlignment="1">
      <alignment horizontal="left" vertical="center"/>
      <protection/>
    </xf>
    <xf numFmtId="4" fontId="57" fillId="0" borderId="0" xfId="65" applyFont="1" applyBorder="1" applyAlignment="1">
      <alignment horizontal="left" vertical="center"/>
      <protection/>
    </xf>
    <xf numFmtId="4" fontId="3" fillId="0" borderId="46" xfId="65" applyFont="1" applyBorder="1" applyAlignment="1">
      <alignment horizontal="left"/>
      <protection/>
    </xf>
    <xf numFmtId="4" fontId="0" fillId="0" borderId="0" xfId="65" applyFont="1">
      <alignment/>
      <protection/>
    </xf>
    <xf numFmtId="4" fontId="0" fillId="0" borderId="30" xfId="65" applyFont="1" applyBorder="1">
      <alignment/>
      <protection/>
    </xf>
    <xf numFmtId="4" fontId="9" fillId="0" borderId="0" xfId="65" applyFont="1" applyFill="1">
      <alignment/>
      <protection/>
    </xf>
    <xf numFmtId="0" fontId="3" fillId="0" borderId="0" xfId="65" applyNumberFormat="1" applyFont="1" applyFill="1" applyBorder="1" applyAlignment="1">
      <alignment vertical="center"/>
      <protection/>
    </xf>
    <xf numFmtId="0" fontId="3" fillId="0" borderId="0" xfId="65" applyNumberFormat="1" applyFont="1" applyFill="1" applyBorder="1" applyAlignment="1">
      <alignment horizontal="center" vertical="center"/>
      <protection/>
    </xf>
    <xf numFmtId="10" fontId="9" fillId="0" borderId="0" xfId="85" applyNumberFormat="1" applyFont="1" applyAlignment="1">
      <alignment/>
    </xf>
    <xf numFmtId="4" fontId="3" fillId="37" borderId="10" xfId="65" applyNumberFormat="1" applyFont="1" applyFill="1" applyBorder="1">
      <alignment/>
      <protection/>
    </xf>
    <xf numFmtId="170" fontId="3" fillId="37" borderId="10" xfId="103" applyNumberFormat="1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170" fontId="0" fillId="37" borderId="27" xfId="137" applyFont="1" applyFill="1" applyBorder="1" applyAlignment="1">
      <alignment horizontal="center" vertical="center"/>
    </xf>
    <xf numFmtId="170" fontId="0" fillId="0" borderId="27" xfId="137" applyFont="1" applyBorder="1" applyAlignment="1">
      <alignment horizontal="center" vertical="center"/>
    </xf>
    <xf numFmtId="170" fontId="0" fillId="0" borderId="27" xfId="137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170" fontId="0" fillId="0" borderId="10" xfId="137" applyFont="1" applyBorder="1" applyAlignment="1">
      <alignment horizontal="center" vertical="center"/>
    </xf>
    <xf numFmtId="171" fontId="0" fillId="0" borderId="10" xfId="137" applyNumberFormat="1" applyFont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170" fontId="7" fillId="40" borderId="47" xfId="137" applyFont="1" applyFill="1" applyBorder="1" applyAlignment="1">
      <alignment horizontal="center" vertical="center"/>
    </xf>
    <xf numFmtId="4" fontId="3" fillId="0" borderId="46" xfId="65" applyFont="1" applyBorder="1" applyAlignment="1">
      <alignment horizontal="center"/>
      <protection/>
    </xf>
    <xf numFmtId="0" fontId="0" fillId="0" borderId="35" xfId="0" applyFont="1" applyBorder="1" applyAlignment="1">
      <alignment vertical="center"/>
    </xf>
    <xf numFmtId="170" fontId="0" fillId="0" borderId="35" xfId="137" applyFont="1" applyBorder="1" applyAlignment="1">
      <alignment vertical="center"/>
    </xf>
    <xf numFmtId="170" fontId="0" fillId="0" borderId="36" xfId="137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70" fontId="2" fillId="0" borderId="10" xfId="137" applyFont="1" applyBorder="1" applyAlignment="1">
      <alignment horizontal="center" vertical="center"/>
    </xf>
    <xf numFmtId="170" fontId="9" fillId="0" borderId="10" xfId="137" applyFont="1" applyBorder="1" applyAlignment="1">
      <alignment/>
    </xf>
    <xf numFmtId="171" fontId="0" fillId="0" borderId="27" xfId="137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10" fontId="4" fillId="37" borderId="49" xfId="0" applyNumberFormat="1" applyFont="1" applyFill="1" applyBorder="1" applyAlignment="1">
      <alignment horizontal="center" vertical="center"/>
    </xf>
    <xf numFmtId="10" fontId="4" fillId="0" borderId="48" xfId="85" applyNumberFormat="1" applyFont="1" applyBorder="1" applyAlignment="1">
      <alignment horizontal="right"/>
    </xf>
    <xf numFmtId="10" fontId="4" fillId="0" borderId="27" xfId="85" applyNumberFormat="1" applyFont="1" applyBorder="1" applyAlignment="1">
      <alignment horizontal="right"/>
    </xf>
    <xf numFmtId="10" fontId="4" fillId="0" borderId="49" xfId="85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0" fontId="3" fillId="0" borderId="10" xfId="87" applyNumberFormat="1" applyFont="1" applyFill="1" applyBorder="1" applyAlignment="1">
      <alignment horizontal="right"/>
    </xf>
    <xf numFmtId="4" fontId="4" fillId="0" borderId="0" xfId="65" applyFont="1" applyAlignment="1">
      <alignment horizontal="center"/>
      <protection/>
    </xf>
    <xf numFmtId="4" fontId="4" fillId="0" borderId="0" xfId="65" applyFont="1">
      <alignment/>
      <protection/>
    </xf>
    <xf numFmtId="170" fontId="9" fillId="0" borderId="0" xfId="137" applyFont="1" applyAlignment="1">
      <alignment/>
    </xf>
    <xf numFmtId="4" fontId="9" fillId="0" borderId="0" xfId="65" applyFont="1" applyAlignment="1">
      <alignment horizontal="center"/>
      <protection/>
    </xf>
    <xf numFmtId="43" fontId="0" fillId="0" borderId="0" xfId="0" applyNumberFormat="1" applyAlignment="1">
      <alignment/>
    </xf>
    <xf numFmtId="1" fontId="3" fillId="0" borderId="10" xfId="65" applyNumberFormat="1" applyFont="1" applyBorder="1" applyAlignment="1">
      <alignment horizontal="center"/>
      <protection/>
    </xf>
    <xf numFmtId="170" fontId="3" fillId="0" borderId="0" xfId="105" applyNumberFormat="1" applyFont="1" applyFill="1" applyBorder="1" applyAlignment="1">
      <alignment/>
    </xf>
    <xf numFmtId="4" fontId="64" fillId="0" borderId="0" xfId="65" applyFont="1">
      <alignment/>
      <protection/>
    </xf>
    <xf numFmtId="4" fontId="9" fillId="37" borderId="10" xfId="65" applyNumberFormat="1" applyFont="1" applyFill="1" applyBorder="1">
      <alignment/>
      <protection/>
    </xf>
    <xf numFmtId="4" fontId="9" fillId="37" borderId="27" xfId="65" applyNumberFormat="1" applyFont="1" applyFill="1" applyBorder="1">
      <alignment/>
      <protection/>
    </xf>
    <xf numFmtId="170" fontId="9" fillId="37" borderId="10" xfId="103" applyNumberFormat="1" applyFont="1" applyFill="1" applyBorder="1" applyAlignment="1">
      <alignment horizontal="center"/>
    </xf>
    <xf numFmtId="10" fontId="9" fillId="41" borderId="10" xfId="91" applyNumberFormat="1" applyFont="1" applyFill="1" applyBorder="1" applyAlignment="1">
      <alignment horizontal="center"/>
    </xf>
    <xf numFmtId="4" fontId="3" fillId="41" borderId="23" xfId="65" applyFont="1" applyFill="1" applyBorder="1" applyAlignment="1">
      <alignment horizontal="center"/>
      <protection/>
    </xf>
    <xf numFmtId="4" fontId="3" fillId="41" borderId="24" xfId="65" applyFont="1" applyFill="1" applyBorder="1" applyAlignment="1">
      <alignment horizontal="center"/>
      <protection/>
    </xf>
    <xf numFmtId="4" fontId="3" fillId="41" borderId="25" xfId="65" applyFont="1" applyFill="1" applyBorder="1" applyAlignment="1">
      <alignment horizontal="center"/>
      <protection/>
    </xf>
    <xf numFmtId="4" fontId="3" fillId="10" borderId="23" xfId="65" applyFont="1" applyFill="1" applyBorder="1" applyAlignment="1">
      <alignment horizontal="center"/>
      <protection/>
    </xf>
    <xf numFmtId="4" fontId="3" fillId="10" borderId="24" xfId="65" applyFont="1" applyFill="1" applyBorder="1" applyAlignment="1">
      <alignment horizontal="center"/>
      <protection/>
    </xf>
    <xf numFmtId="4" fontId="3" fillId="10" borderId="25" xfId="65" applyFont="1" applyFill="1" applyBorder="1" applyAlignment="1">
      <alignment horizontal="center"/>
      <protection/>
    </xf>
    <xf numFmtId="0" fontId="3" fillId="10" borderId="23" xfId="65" applyNumberFormat="1" applyFont="1" applyFill="1" applyBorder="1" applyAlignment="1">
      <alignment horizontal="center" vertical="center"/>
      <protection/>
    </xf>
    <xf numFmtId="0" fontId="3" fillId="10" borderId="24" xfId="65" applyNumberFormat="1" applyFont="1" applyFill="1" applyBorder="1" applyAlignment="1">
      <alignment horizontal="center" vertical="center"/>
      <protection/>
    </xf>
    <xf numFmtId="0" fontId="3" fillId="10" borderId="25" xfId="65" applyNumberFormat="1" applyFont="1" applyFill="1" applyBorder="1" applyAlignment="1">
      <alignment horizontal="center" vertical="center"/>
      <protection/>
    </xf>
    <xf numFmtId="4" fontId="3" fillId="0" borderId="50" xfId="65" applyFont="1" applyFill="1" applyBorder="1" applyAlignment="1">
      <alignment horizontal="center"/>
      <protection/>
    </xf>
    <xf numFmtId="0" fontId="9" fillId="38" borderId="46" xfId="65" applyNumberFormat="1" applyFont="1" applyFill="1" applyBorder="1" applyAlignment="1">
      <alignment horizontal="center"/>
      <protection/>
    </xf>
    <xf numFmtId="0" fontId="9" fillId="38" borderId="36" xfId="65" applyNumberFormat="1" applyFont="1" applyFill="1" applyBorder="1" applyAlignment="1">
      <alignment horizontal="center"/>
      <protection/>
    </xf>
    <xf numFmtId="170" fontId="3" fillId="0" borderId="46" xfId="103" applyNumberFormat="1" applyFont="1" applyBorder="1" applyAlignment="1">
      <alignment horizontal="center"/>
    </xf>
    <xf numFmtId="170" fontId="3" fillId="0" borderId="36" xfId="103" applyNumberFormat="1" applyFont="1" applyBorder="1" applyAlignment="1">
      <alignment horizontal="center"/>
    </xf>
    <xf numFmtId="4" fontId="3" fillId="0" borderId="46" xfId="65" applyFont="1" applyBorder="1" applyAlignment="1">
      <alignment horizontal="center"/>
      <protection/>
    </xf>
    <xf numFmtId="4" fontId="3" fillId="0" borderId="36" xfId="65" applyFont="1" applyBorder="1" applyAlignment="1">
      <alignment horizontal="center"/>
      <protection/>
    </xf>
    <xf numFmtId="4" fontId="3" fillId="0" borderId="46" xfId="65" applyFont="1" applyBorder="1" applyAlignment="1">
      <alignment horizontal="left"/>
      <protection/>
    </xf>
    <xf numFmtId="4" fontId="3" fillId="0" borderId="35" xfId="65" applyFont="1" applyBorder="1" applyAlignment="1">
      <alignment horizontal="left"/>
      <protection/>
    </xf>
    <xf numFmtId="4" fontId="3" fillId="0" borderId="36" xfId="65" applyFont="1" applyBorder="1" applyAlignment="1">
      <alignment horizontal="left"/>
      <protection/>
    </xf>
    <xf numFmtId="4" fontId="3" fillId="0" borderId="46" xfId="65" applyFont="1" applyFill="1" applyBorder="1" applyAlignment="1">
      <alignment horizontal="left"/>
      <protection/>
    </xf>
    <xf numFmtId="4" fontId="3" fillId="0" borderId="35" xfId="65" applyFont="1" applyFill="1" applyBorder="1" applyAlignment="1">
      <alignment horizontal="left"/>
      <protection/>
    </xf>
    <xf numFmtId="4" fontId="3" fillId="0" borderId="36" xfId="65" applyFont="1" applyFill="1" applyBorder="1" applyAlignment="1">
      <alignment horizontal="left"/>
      <protection/>
    </xf>
    <xf numFmtId="4" fontId="3" fillId="42" borderId="23" xfId="65" applyFont="1" applyFill="1" applyBorder="1" applyAlignment="1">
      <alignment horizontal="center"/>
      <protection/>
    </xf>
    <xf numFmtId="4" fontId="3" fillId="42" borderId="24" xfId="65" applyFont="1" applyFill="1" applyBorder="1" applyAlignment="1">
      <alignment horizontal="center"/>
      <protection/>
    </xf>
    <xf numFmtId="4" fontId="3" fillId="42" borderId="25" xfId="65" applyFont="1" applyFill="1" applyBorder="1" applyAlignment="1">
      <alignment horizontal="center"/>
      <protection/>
    </xf>
    <xf numFmtId="0" fontId="5" fillId="43" borderId="23" xfId="65" applyNumberFormat="1" applyFont="1" applyFill="1" applyBorder="1" applyAlignment="1">
      <alignment horizontal="center" vertical="center"/>
      <protection/>
    </xf>
    <xf numFmtId="0" fontId="5" fillId="43" borderId="24" xfId="65" applyNumberFormat="1" applyFont="1" applyFill="1" applyBorder="1" applyAlignment="1">
      <alignment horizontal="center" vertical="center"/>
      <protection/>
    </xf>
    <xf numFmtId="0" fontId="5" fillId="43" borderId="25" xfId="65" applyNumberFormat="1" applyFont="1" applyFill="1" applyBorder="1" applyAlignment="1">
      <alignment horizontal="center" vertical="center"/>
      <protection/>
    </xf>
    <xf numFmtId="4" fontId="3" fillId="38" borderId="46" xfId="65" applyFont="1" applyFill="1" applyBorder="1" applyAlignment="1">
      <alignment horizontal="center"/>
      <protection/>
    </xf>
    <xf numFmtId="4" fontId="3" fillId="38" borderId="35" xfId="65" applyFont="1" applyFill="1" applyBorder="1" applyAlignment="1">
      <alignment horizontal="center"/>
      <protection/>
    </xf>
    <xf numFmtId="4" fontId="3" fillId="38" borderId="36" xfId="65" applyFont="1" applyFill="1" applyBorder="1" applyAlignment="1">
      <alignment horizontal="center"/>
      <protection/>
    </xf>
    <xf numFmtId="4" fontId="65" fillId="0" borderId="0" xfId="65" applyFont="1" applyAlignment="1">
      <alignment horizontal="left" vertical="top"/>
      <protection/>
    </xf>
    <xf numFmtId="4" fontId="3" fillId="39" borderId="46" xfId="65" applyFont="1" applyFill="1" applyBorder="1" applyAlignment="1">
      <alignment horizontal="left"/>
      <protection/>
    </xf>
    <xf numFmtId="4" fontId="3" fillId="39" borderId="35" xfId="65" applyFont="1" applyFill="1" applyBorder="1" applyAlignment="1">
      <alignment horizontal="left"/>
      <protection/>
    </xf>
    <xf numFmtId="4" fontId="3" fillId="39" borderId="36" xfId="65" applyFont="1" applyFill="1" applyBorder="1" applyAlignment="1">
      <alignment horizontal="left"/>
      <protection/>
    </xf>
    <xf numFmtId="170" fontId="8" fillId="43" borderId="52" xfId="103" applyNumberFormat="1" applyFont="1" applyFill="1" applyBorder="1" applyAlignment="1">
      <alignment horizontal="center" vertical="center"/>
    </xf>
    <xf numFmtId="170" fontId="8" fillId="43" borderId="53" xfId="103" applyNumberFormat="1" applyFont="1" applyFill="1" applyBorder="1" applyAlignment="1">
      <alignment horizontal="center" vertical="center"/>
    </xf>
    <xf numFmtId="170" fontId="8" fillId="43" borderId="44" xfId="103" applyNumberFormat="1" applyFont="1" applyFill="1" applyBorder="1" applyAlignment="1">
      <alignment horizontal="center" vertical="center"/>
    </xf>
    <xf numFmtId="170" fontId="8" fillId="43" borderId="45" xfId="103" applyNumberFormat="1" applyFont="1" applyFill="1" applyBorder="1" applyAlignment="1">
      <alignment horizontal="center" vertical="center"/>
    </xf>
    <xf numFmtId="0" fontId="8" fillId="43" borderId="43" xfId="0" applyFont="1" applyFill="1" applyBorder="1" applyAlignment="1">
      <alignment horizontal="center" vertical="center"/>
    </xf>
    <xf numFmtId="0" fontId="8" fillId="43" borderId="44" xfId="0" applyFont="1" applyFill="1" applyBorder="1" applyAlignment="1">
      <alignment horizontal="center" vertical="center"/>
    </xf>
    <xf numFmtId="0" fontId="8" fillId="43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5" fillId="0" borderId="43" xfId="85" applyFont="1" applyBorder="1" applyAlignment="1">
      <alignment horizontal="center"/>
    </xf>
    <xf numFmtId="9" fontId="5" fillId="0" borderId="44" xfId="85" applyFont="1" applyBorder="1" applyAlignment="1">
      <alignment horizontal="center"/>
    </xf>
    <xf numFmtId="9" fontId="5" fillId="0" borderId="45" xfId="85" applyFont="1" applyBorder="1" applyAlignment="1">
      <alignment horizontal="center"/>
    </xf>
    <xf numFmtId="0" fontId="3" fillId="44" borderId="17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3" fillId="44" borderId="24" xfId="0" applyFont="1" applyFill="1" applyBorder="1" applyAlignment="1">
      <alignment horizontal="center" vertical="center"/>
    </xf>
  </cellXfs>
  <cellStyles count="12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 2 2" xfId="51"/>
    <cellStyle name="Moeda 2 3" xfId="52"/>
    <cellStyle name="Moeda 2 3 2" xfId="53"/>
    <cellStyle name="Moeda 2 4" xfId="54"/>
    <cellStyle name="Moeda 3" xfId="55"/>
    <cellStyle name="Moeda 3 2" xfId="56"/>
    <cellStyle name="Moeda 4" xfId="57"/>
    <cellStyle name="Moeda 4 2" xfId="58"/>
    <cellStyle name="Neutra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5 2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 3" xfId="73"/>
    <cellStyle name="Normal 24" xfId="74"/>
    <cellStyle name="Normal 28" xfId="75"/>
    <cellStyle name="Normal 3" xfId="76"/>
    <cellStyle name="Normal 3 2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a" xfId="84"/>
    <cellStyle name="Percent" xfId="85"/>
    <cellStyle name="Porcentagem 2" xfId="86"/>
    <cellStyle name="Porcentagem 2 2" xfId="87"/>
    <cellStyle name="Porcentagem 2 2 2" xfId="88"/>
    <cellStyle name="Porcentagem 2 3" xfId="89"/>
    <cellStyle name="Porcentagem 3" xfId="90"/>
    <cellStyle name="Porcentagem 4" xfId="91"/>
    <cellStyle name="Porcentagem 4 2" xfId="92"/>
    <cellStyle name="Saída" xfId="93"/>
    <cellStyle name="Comma [0]" xfId="94"/>
    <cellStyle name="Separador de milhares 10" xfId="95"/>
    <cellStyle name="Separador de milhares 10 2" xfId="96"/>
    <cellStyle name="Separador de milhares 11" xfId="97"/>
    <cellStyle name="Separador de milhares 11 2" xfId="98"/>
    <cellStyle name="Separador de milhares 12" xfId="99"/>
    <cellStyle name="Separador de milhares 12 2" xfId="100"/>
    <cellStyle name="Separador de milhares 13" xfId="101"/>
    <cellStyle name="Separador de milhares 13 2" xfId="102"/>
    <cellStyle name="Separador de milhares 14" xfId="103"/>
    <cellStyle name="Separador de milhares 14 2" xfId="104"/>
    <cellStyle name="Separador de milhares 15" xfId="105"/>
    <cellStyle name="Separador de milhares 15 2" xfId="106"/>
    <cellStyle name="Separador de milhares 16" xfId="107"/>
    <cellStyle name="Separador de milhares 16 2" xfId="108"/>
    <cellStyle name="Separador de milhares 17" xfId="109"/>
    <cellStyle name="Separador de milhares 17 2" xfId="110"/>
    <cellStyle name="Separador de milhares 2" xfId="111"/>
    <cellStyle name="Separador de milhares 2 2" xfId="112"/>
    <cellStyle name="Separador de milhares 22" xfId="113"/>
    <cellStyle name="Separador de milhares 22 2" xfId="114"/>
    <cellStyle name="Separador de milhares 3" xfId="115"/>
    <cellStyle name="Separador de milhares 3 2" xfId="116"/>
    <cellStyle name="Separador de milhares 4" xfId="117"/>
    <cellStyle name="Separador de milhares 4 2" xfId="118"/>
    <cellStyle name="Separador de milhares 5" xfId="119"/>
    <cellStyle name="Separador de milhares 5 2" xfId="120"/>
    <cellStyle name="Separador de milhares 6" xfId="121"/>
    <cellStyle name="Separador de milhares 6 2" xfId="122"/>
    <cellStyle name="Separador de milhares 7" xfId="123"/>
    <cellStyle name="Separador de milhares 7 2" xfId="124"/>
    <cellStyle name="Separador de milhares 8" xfId="125"/>
    <cellStyle name="Separador de milhares 8 2" xfId="126"/>
    <cellStyle name="Separador de milhares 9" xfId="127"/>
    <cellStyle name="Separador de milhares 9 2" xfId="128"/>
    <cellStyle name="Texto de Aviso" xfId="129"/>
    <cellStyle name="Texto Explicativo" xfId="130"/>
    <cellStyle name="Título" xfId="131"/>
    <cellStyle name="Título 1" xfId="132"/>
    <cellStyle name="Título 2" xfId="133"/>
    <cellStyle name="Título 3" xfId="134"/>
    <cellStyle name="Título 4" xfId="135"/>
    <cellStyle name="Total" xfId="136"/>
    <cellStyle name="Comma" xfId="137"/>
    <cellStyle name="Vírgula 2" xfId="138"/>
    <cellStyle name="Vírgula 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A1" sqref="A1:J1"/>
    </sheetView>
  </sheetViews>
  <sheetFormatPr defaultColWidth="8.8515625" defaultRowHeight="12.75"/>
  <cols>
    <col min="1" max="1" width="13.140625" style="103" customWidth="1"/>
    <col min="2" max="2" width="9.57421875" style="103" bestFit="1" customWidth="1"/>
    <col min="3" max="3" width="13.8515625" style="103" customWidth="1"/>
    <col min="4" max="4" width="13.7109375" style="103" customWidth="1"/>
    <col min="5" max="5" width="13.57421875" style="103" customWidth="1"/>
    <col min="6" max="6" width="15.140625" style="103" customWidth="1"/>
    <col min="7" max="7" width="11.421875" style="103" bestFit="1" customWidth="1"/>
    <col min="8" max="8" width="16.140625" style="103" bestFit="1" customWidth="1"/>
    <col min="9" max="9" width="11.57421875" style="103" hidden="1" customWidth="1"/>
    <col min="10" max="10" width="18.7109375" style="103" hidden="1" customWidth="1"/>
    <col min="11" max="11" width="11.57421875" style="103" hidden="1" customWidth="1"/>
    <col min="12" max="12" width="12.8515625" style="103" hidden="1" customWidth="1"/>
    <col min="13" max="13" width="11.57421875" style="103" hidden="1" customWidth="1"/>
    <col min="14" max="15" width="10.421875" style="103" hidden="1" customWidth="1"/>
    <col min="16" max="16" width="10.00390625" style="103" hidden="1" customWidth="1"/>
    <col min="17" max="17" width="5.7109375" style="103" hidden="1" customWidth="1"/>
    <col min="18" max="18" width="12.7109375" style="103" hidden="1" customWidth="1"/>
    <col min="19" max="19" width="10.8515625" style="103" hidden="1" customWidth="1"/>
    <col min="20" max="20" width="12.140625" style="103" hidden="1" customWidth="1"/>
    <col min="21" max="21" width="8.7109375" style="103" hidden="1" customWidth="1"/>
    <col min="22" max="16384" width="8.8515625" style="103" customWidth="1"/>
  </cols>
  <sheetData>
    <row r="1" spans="1:14" ht="18" customHeight="1" thickBot="1">
      <c r="A1" s="310" t="s">
        <v>274</v>
      </c>
      <c r="B1" s="311"/>
      <c r="C1" s="311"/>
      <c r="D1" s="311"/>
      <c r="E1" s="311"/>
      <c r="F1" s="311"/>
      <c r="G1" s="311"/>
      <c r="H1" s="311"/>
      <c r="I1" s="311"/>
      <c r="J1" s="312"/>
      <c r="K1" s="95"/>
      <c r="L1" s="95"/>
      <c r="M1" s="96"/>
      <c r="N1" s="96"/>
    </row>
    <row r="2" spans="1:14" ht="16.5" customHeight="1" thickBot="1">
      <c r="A2" s="313" t="s">
        <v>223</v>
      </c>
      <c r="B2" s="314"/>
      <c r="C2" s="314"/>
      <c r="D2" s="314"/>
      <c r="E2" s="314"/>
      <c r="F2" s="314"/>
      <c r="G2" s="314"/>
      <c r="H2" s="314"/>
      <c r="I2" s="314"/>
      <c r="J2" s="315"/>
      <c r="K2" s="95"/>
      <c r="L2" s="95"/>
      <c r="M2" s="96"/>
      <c r="N2" s="96"/>
    </row>
    <row r="3" spans="1:11" s="261" customFormat="1" ht="15" customHeight="1" thickBot="1">
      <c r="A3" s="310" t="str">
        <f>Lin1!A3:H3</f>
        <v>Serviço de Transporte Escolar - Não-Me-Toque/RS</v>
      </c>
      <c r="B3" s="311"/>
      <c r="C3" s="311"/>
      <c r="D3" s="311"/>
      <c r="E3" s="311"/>
      <c r="F3" s="311"/>
      <c r="G3" s="311"/>
      <c r="H3" s="311"/>
      <c r="I3" s="311"/>
      <c r="J3" s="312"/>
      <c r="K3" s="95"/>
    </row>
    <row r="4" spans="1:11" s="261" customFormat="1" ht="17.25" customHeight="1" thickBot="1">
      <c r="A4" s="316" t="s">
        <v>9</v>
      </c>
      <c r="B4" s="317"/>
      <c r="C4" s="317"/>
      <c r="D4" s="317"/>
      <c r="E4" s="317"/>
      <c r="F4" s="317"/>
      <c r="G4" s="317"/>
      <c r="H4" s="317"/>
      <c r="I4" s="317"/>
      <c r="J4" s="318"/>
      <c r="K4" s="262"/>
    </row>
    <row r="5" spans="1:11" s="261" customFormat="1" ht="15.75">
      <c r="A5" s="263"/>
      <c r="B5" s="263"/>
      <c r="C5" s="263"/>
      <c r="D5" s="263"/>
      <c r="E5" s="263"/>
      <c r="F5" s="263"/>
      <c r="G5" s="263"/>
      <c r="H5" s="263"/>
      <c r="I5" s="263"/>
      <c r="J5" s="96"/>
      <c r="K5" s="96"/>
    </row>
    <row r="6" spans="1:11" s="261" customFormat="1" ht="15.75">
      <c r="A6" s="319" t="s">
        <v>224</v>
      </c>
      <c r="B6" s="319"/>
      <c r="C6" s="319"/>
      <c r="D6" s="319"/>
      <c r="E6" s="319"/>
      <c r="F6" s="319"/>
      <c r="G6" s="319"/>
      <c r="H6" s="319"/>
      <c r="I6" s="319"/>
      <c r="J6" s="96"/>
      <c r="K6" s="96"/>
    </row>
    <row r="7" spans="1:21" ht="15.75">
      <c r="A7" s="102" t="s">
        <v>273</v>
      </c>
      <c r="B7" s="102" t="s">
        <v>173</v>
      </c>
      <c r="C7" s="102" t="s">
        <v>174</v>
      </c>
      <c r="D7" s="102" t="s">
        <v>175</v>
      </c>
      <c r="E7" s="102" t="s">
        <v>176</v>
      </c>
      <c r="F7" s="102" t="s">
        <v>177</v>
      </c>
      <c r="G7" s="102" t="s">
        <v>178</v>
      </c>
      <c r="H7" s="102" t="s">
        <v>179</v>
      </c>
      <c r="I7" s="102" t="s">
        <v>180</v>
      </c>
      <c r="J7" s="102" t="s">
        <v>181</v>
      </c>
      <c r="K7" s="103" t="s">
        <v>243</v>
      </c>
      <c r="L7" s="103" t="s">
        <v>245</v>
      </c>
      <c r="M7" s="301" t="s">
        <v>244</v>
      </c>
      <c r="N7" s="301" t="s">
        <v>246</v>
      </c>
      <c r="O7" s="298" t="s">
        <v>241</v>
      </c>
      <c r="P7" s="298" t="s">
        <v>240</v>
      </c>
      <c r="Q7" s="123"/>
      <c r="R7" s="123" t="s">
        <v>298</v>
      </c>
      <c r="S7" s="123" t="s">
        <v>296</v>
      </c>
      <c r="T7" s="123" t="s">
        <v>297</v>
      </c>
      <c r="U7" s="112" t="s">
        <v>311</v>
      </c>
    </row>
    <row r="8" spans="1:21" ht="15.75">
      <c r="A8" s="249">
        <v>1</v>
      </c>
      <c r="B8" s="249">
        <f>Lin1!G8</f>
        <v>21</v>
      </c>
      <c r="C8" s="250">
        <f>Lin1!G11</f>
        <v>94</v>
      </c>
      <c r="D8" s="249">
        <f>Lin1!G22</f>
        <v>20</v>
      </c>
      <c r="E8" s="250">
        <f aca="true" t="shared" si="0" ref="E8:E17">C8*D8</f>
        <v>1880</v>
      </c>
      <c r="F8" s="250">
        <f>Lin1!H59</f>
        <v>10672.522652217107</v>
      </c>
      <c r="G8" s="250">
        <f aca="true" t="shared" si="1" ref="G8:G17">F8/E8</f>
        <v>5.676873751179312</v>
      </c>
      <c r="H8" s="250">
        <f>F8*10</f>
        <v>106725.22652217107</v>
      </c>
      <c r="I8" s="297">
        <f aca="true" t="shared" si="2" ref="I8:I20">H8/$H$22</f>
        <v>0.06630325607219334</v>
      </c>
      <c r="J8" s="250">
        <f aca="true" t="shared" si="3" ref="J8:J13">H8/B8</f>
        <v>5082.153643912908</v>
      </c>
      <c r="K8" s="103">
        <v>5.63</v>
      </c>
      <c r="L8" s="300">
        <f>K8*E8</f>
        <v>10584.4</v>
      </c>
      <c r="M8" s="103">
        <f>F8-L8</f>
        <v>88.12265221710732</v>
      </c>
      <c r="N8" s="264">
        <f>G8/K8-1</f>
        <v>0.008325710689043087</v>
      </c>
      <c r="O8" s="299">
        <v>73.6</v>
      </c>
      <c r="P8" s="299">
        <f aca="true" t="shared" si="4" ref="P8:P14">C8-O8</f>
        <v>20.400000000000006</v>
      </c>
      <c r="Q8" s="123">
        <v>5.42</v>
      </c>
      <c r="R8" s="123">
        <f>Q8*E8</f>
        <v>10189.6</v>
      </c>
      <c r="S8" s="123">
        <f>F8-R8</f>
        <v>482.9226522171066</v>
      </c>
      <c r="T8" s="123">
        <f>S8*10</f>
        <v>4829.226522171066</v>
      </c>
      <c r="U8" s="112">
        <f>Lin1!H10</f>
        <v>28.923076923076923</v>
      </c>
    </row>
    <row r="9" spans="1:21" ht="15.75">
      <c r="A9" s="249">
        <v>3</v>
      </c>
      <c r="B9" s="249">
        <f>Lin3!G8</f>
        <v>15</v>
      </c>
      <c r="C9" s="250">
        <f>Lin3!G11</f>
        <v>97.5</v>
      </c>
      <c r="D9" s="249">
        <f>Lin3!G22</f>
        <v>20</v>
      </c>
      <c r="E9" s="250">
        <f t="shared" si="0"/>
        <v>1950</v>
      </c>
      <c r="F9" s="250">
        <f>Lin3!H59</f>
        <v>11227.905570382085</v>
      </c>
      <c r="G9" s="250">
        <f t="shared" si="1"/>
        <v>5.757900292503633</v>
      </c>
      <c r="H9" s="250">
        <f aca="true" t="shared" si="5" ref="H9:H20">F9*10</f>
        <v>112279.05570382085</v>
      </c>
      <c r="I9" s="297">
        <f t="shared" si="2"/>
        <v>0.06975358333231538</v>
      </c>
      <c r="J9" s="250">
        <f t="shared" si="3"/>
        <v>7485.270380254723</v>
      </c>
      <c r="K9" s="103">
        <v>5.15</v>
      </c>
      <c r="L9" s="300">
        <f aca="true" t="shared" si="6" ref="L9:L14">K9*E9</f>
        <v>10042.5</v>
      </c>
      <c r="M9" s="103">
        <f aca="true" t="shared" si="7" ref="M9:M14">F9-L9</f>
        <v>1185.405570382085</v>
      </c>
      <c r="N9" s="264">
        <f aca="true" t="shared" si="8" ref="N9:N14">G9/K9-1</f>
        <v>0.1180388917482782</v>
      </c>
      <c r="O9" s="299">
        <v>167.5</v>
      </c>
      <c r="P9" s="299">
        <f t="shared" si="4"/>
        <v>-70</v>
      </c>
      <c r="Q9" s="123">
        <v>5.09</v>
      </c>
      <c r="R9" s="123">
        <f aca="true" t="shared" si="9" ref="R9:R20">Q9*E9</f>
        <v>9925.5</v>
      </c>
      <c r="S9" s="123">
        <f aca="true" t="shared" si="10" ref="S9:S20">F9-R9</f>
        <v>1302.405570382085</v>
      </c>
      <c r="T9" s="123">
        <f aca="true" t="shared" si="11" ref="T9:T20">S9*10</f>
        <v>13024.05570382085</v>
      </c>
      <c r="U9" s="112">
        <f>Lin3!H10</f>
        <v>21.666666666666668</v>
      </c>
    </row>
    <row r="10" spans="1:21" ht="15.75">
      <c r="A10" s="249">
        <v>4</v>
      </c>
      <c r="B10" s="249">
        <f>Lin4!G8</f>
        <v>85</v>
      </c>
      <c r="C10" s="250">
        <f>Lin4!G11</f>
        <v>78</v>
      </c>
      <c r="D10" s="249">
        <f>Lin4!G22</f>
        <v>20</v>
      </c>
      <c r="E10" s="250">
        <f t="shared" si="0"/>
        <v>1560</v>
      </c>
      <c r="F10" s="250">
        <f>Lin4!H59</f>
        <v>12861.048999611976</v>
      </c>
      <c r="G10" s="250">
        <f t="shared" si="1"/>
        <v>8.244262179238445</v>
      </c>
      <c r="H10" s="250">
        <f t="shared" si="5"/>
        <v>128610.48999611975</v>
      </c>
      <c r="I10" s="297">
        <f t="shared" si="2"/>
        <v>0.07989951888283442</v>
      </c>
      <c r="J10" s="250">
        <f t="shared" si="3"/>
        <v>1513.0645881896442</v>
      </c>
      <c r="K10" s="103">
        <v>5.63</v>
      </c>
      <c r="L10" s="300">
        <f t="shared" si="6"/>
        <v>8782.8</v>
      </c>
      <c r="M10" s="103">
        <f t="shared" si="7"/>
        <v>4078.2489996119766</v>
      </c>
      <c r="N10" s="264">
        <f t="shared" si="8"/>
        <v>0.4643449696693509</v>
      </c>
      <c r="O10" s="299">
        <v>146.5</v>
      </c>
      <c r="P10" s="299">
        <f t="shared" si="4"/>
        <v>-68.5</v>
      </c>
      <c r="Q10" s="123">
        <v>8.13</v>
      </c>
      <c r="R10" s="123">
        <f t="shared" si="9"/>
        <v>12682.800000000001</v>
      </c>
      <c r="S10" s="123">
        <f t="shared" si="10"/>
        <v>178.2489996119748</v>
      </c>
      <c r="T10" s="123">
        <f t="shared" si="11"/>
        <v>1782.489996119748</v>
      </c>
      <c r="U10" s="112">
        <f>Lin4!H10</f>
        <v>28.363636363636363</v>
      </c>
    </row>
    <row r="11" spans="1:21" ht="15.75">
      <c r="A11" s="249">
        <v>7</v>
      </c>
      <c r="B11" s="249">
        <f>'Lin 7'!G8</f>
        <v>11</v>
      </c>
      <c r="C11" s="250">
        <f>'Lin 7'!G11</f>
        <v>92</v>
      </c>
      <c r="D11" s="249">
        <f>'Lin 7'!G22</f>
        <v>20</v>
      </c>
      <c r="E11" s="250">
        <f t="shared" si="0"/>
        <v>1840</v>
      </c>
      <c r="F11" s="250">
        <f>'Lin 7'!H59</f>
        <v>7884.20151177431</v>
      </c>
      <c r="G11" s="250">
        <f t="shared" si="1"/>
        <v>4.284892125964299</v>
      </c>
      <c r="H11" s="250">
        <f t="shared" si="5"/>
        <v>78842.01511774311</v>
      </c>
      <c r="I11" s="297">
        <f t="shared" si="2"/>
        <v>0.04898075635860566</v>
      </c>
      <c r="J11" s="250">
        <f t="shared" si="3"/>
        <v>7167.455919794828</v>
      </c>
      <c r="K11" s="103">
        <v>5.15</v>
      </c>
      <c r="L11" s="300">
        <f t="shared" si="6"/>
        <v>9476</v>
      </c>
      <c r="M11" s="103">
        <f t="shared" si="7"/>
        <v>-1591.7984882256897</v>
      </c>
      <c r="N11" s="264">
        <f t="shared" si="8"/>
        <v>-0.16798211146324304</v>
      </c>
      <c r="O11" s="299">
        <v>95</v>
      </c>
      <c r="P11" s="299">
        <f t="shared" si="4"/>
        <v>-3</v>
      </c>
      <c r="Q11" s="123">
        <v>4.55</v>
      </c>
      <c r="R11" s="123">
        <f t="shared" si="9"/>
        <v>8372</v>
      </c>
      <c r="S11" s="123">
        <f t="shared" si="10"/>
        <v>-487.79848822568965</v>
      </c>
      <c r="T11" s="123">
        <f t="shared" si="11"/>
        <v>-4877.9848822568965</v>
      </c>
      <c r="U11" s="112">
        <f>'Lin 7'!H10</f>
        <v>38.068965517241374</v>
      </c>
    </row>
    <row r="12" spans="1:21" ht="15.75">
      <c r="A12" s="249">
        <v>8</v>
      </c>
      <c r="B12" s="249">
        <f>Lin8!G8</f>
        <v>24</v>
      </c>
      <c r="C12" s="250">
        <f>Lin8!G11</f>
        <v>92</v>
      </c>
      <c r="D12" s="249">
        <f>Lin8!G22</f>
        <v>20</v>
      </c>
      <c r="E12" s="250">
        <f>C12*D12</f>
        <v>1840</v>
      </c>
      <c r="F12" s="250">
        <f>Lin8!H59</f>
        <v>10094.312269684524</v>
      </c>
      <c r="G12" s="250">
        <f>F12/E12</f>
        <v>5.486039277002459</v>
      </c>
      <c r="H12" s="250">
        <f t="shared" si="5"/>
        <v>100943.12269684524</v>
      </c>
      <c r="I12" s="297">
        <f t="shared" si="2"/>
        <v>0.06271111274245353</v>
      </c>
      <c r="J12" s="250"/>
      <c r="K12" s="103">
        <v>5.63</v>
      </c>
      <c r="L12" s="300">
        <f t="shared" si="6"/>
        <v>10359.199999999999</v>
      </c>
      <c r="M12" s="103">
        <f t="shared" si="7"/>
        <v>-264.887730315475</v>
      </c>
      <c r="N12" s="264">
        <f t="shared" si="8"/>
        <v>-0.0255702882766502</v>
      </c>
      <c r="O12" s="299">
        <v>102</v>
      </c>
      <c r="P12" s="299">
        <f t="shared" si="4"/>
        <v>-10</v>
      </c>
      <c r="Q12" s="123">
        <v>5.52</v>
      </c>
      <c r="R12" s="123">
        <f t="shared" si="9"/>
        <v>10156.8</v>
      </c>
      <c r="S12" s="123">
        <f t="shared" si="10"/>
        <v>-62.487730315475346</v>
      </c>
      <c r="T12" s="123">
        <f t="shared" si="11"/>
        <v>-624.8773031547535</v>
      </c>
      <c r="U12" s="112">
        <f>Lin8!H10</f>
        <v>33.45454545454545</v>
      </c>
    </row>
    <row r="13" spans="1:21" ht="15.75">
      <c r="A13" s="249">
        <v>9</v>
      </c>
      <c r="B13" s="249">
        <f>Lin9!G8</f>
        <v>34</v>
      </c>
      <c r="C13" s="250">
        <f>Lin9!G11</f>
        <v>169</v>
      </c>
      <c r="D13" s="249">
        <v>20</v>
      </c>
      <c r="E13" s="250">
        <f t="shared" si="0"/>
        <v>3380</v>
      </c>
      <c r="F13" s="250">
        <f>Lin9!H59</f>
        <v>15812.95826987095</v>
      </c>
      <c r="G13" s="250">
        <f t="shared" si="1"/>
        <v>4.678390020671879</v>
      </c>
      <c r="H13" s="250">
        <f t="shared" si="5"/>
        <v>158129.5826987095</v>
      </c>
      <c r="I13" s="297">
        <f t="shared" si="2"/>
        <v>0.09823831305791196</v>
      </c>
      <c r="J13" s="250">
        <f t="shared" si="3"/>
        <v>4650.870079373809</v>
      </c>
      <c r="K13" s="103">
        <v>5.15</v>
      </c>
      <c r="L13" s="300">
        <f t="shared" si="6"/>
        <v>17407</v>
      </c>
      <c r="M13" s="103">
        <f t="shared" si="7"/>
        <v>-1594.0417301290508</v>
      </c>
      <c r="N13" s="264">
        <f t="shared" si="8"/>
        <v>-0.09157475326759645</v>
      </c>
      <c r="O13" s="299">
        <v>140.5</v>
      </c>
      <c r="P13" s="299">
        <f t="shared" si="4"/>
        <v>28.5</v>
      </c>
      <c r="Q13" s="123">
        <v>4.37</v>
      </c>
      <c r="R13" s="123">
        <f t="shared" si="9"/>
        <v>14770.6</v>
      </c>
      <c r="S13" s="123">
        <f t="shared" si="10"/>
        <v>1042.3582698709488</v>
      </c>
      <c r="T13" s="123">
        <f t="shared" si="11"/>
        <v>10423.582698709488</v>
      </c>
      <c r="U13" s="112">
        <f>Lin9!H10</f>
        <v>36.214285714285715</v>
      </c>
    </row>
    <row r="14" spans="1:21" ht="15.75">
      <c r="A14" s="249">
        <v>10</v>
      </c>
      <c r="B14" s="249">
        <f>lin10!G8</f>
        <v>83</v>
      </c>
      <c r="C14" s="250">
        <f>lin10!G11</f>
        <v>80</v>
      </c>
      <c r="D14" s="249">
        <f>lin10!G22</f>
        <v>20</v>
      </c>
      <c r="E14" s="250">
        <f t="shared" si="0"/>
        <v>1600</v>
      </c>
      <c r="F14" s="250">
        <f>lin10!H59</f>
        <v>13143.0664766714</v>
      </c>
      <c r="G14" s="250">
        <f t="shared" si="1"/>
        <v>8.214416547919624</v>
      </c>
      <c r="H14" s="250">
        <f t="shared" si="5"/>
        <v>131430.664766714</v>
      </c>
      <c r="I14" s="297">
        <f t="shared" si="2"/>
        <v>0.08165155798433218</v>
      </c>
      <c r="J14" s="250"/>
      <c r="K14" s="103">
        <v>5.63</v>
      </c>
      <c r="L14" s="300">
        <f t="shared" si="6"/>
        <v>9008</v>
      </c>
      <c r="M14" s="103">
        <f t="shared" si="7"/>
        <v>4135.0664766714</v>
      </c>
      <c r="N14" s="264">
        <f t="shared" si="8"/>
        <v>0.4590437918152086</v>
      </c>
      <c r="O14" s="299">
        <v>162.5</v>
      </c>
      <c r="P14" s="299">
        <f t="shared" si="4"/>
        <v>-82.5</v>
      </c>
      <c r="Q14" s="123">
        <v>7.08</v>
      </c>
      <c r="R14" s="123">
        <f t="shared" si="9"/>
        <v>11328</v>
      </c>
      <c r="S14" s="123">
        <f t="shared" si="10"/>
        <v>1815.0664766713999</v>
      </c>
      <c r="T14" s="123">
        <f t="shared" si="11"/>
        <v>18150.664766714</v>
      </c>
      <c r="U14" s="112">
        <f>lin10!H10</f>
        <v>27.90697674418605</v>
      </c>
    </row>
    <row r="15" spans="1:21" ht="15.75">
      <c r="A15" s="249">
        <v>12</v>
      </c>
      <c r="B15" s="249">
        <f>lin12!G8</f>
        <v>28</v>
      </c>
      <c r="C15" s="250">
        <f>lin12!G11</f>
        <v>153</v>
      </c>
      <c r="D15" s="249">
        <f>lin12!G22</f>
        <v>20</v>
      </c>
      <c r="E15" s="250">
        <f>C15*D15</f>
        <v>3060</v>
      </c>
      <c r="F15" s="250">
        <f>lin12!H59</f>
        <v>15057.057370323711</v>
      </c>
      <c r="G15" s="250">
        <f>F15/E15</f>
        <v>4.920606983765919</v>
      </c>
      <c r="H15" s="250">
        <f t="shared" si="5"/>
        <v>150570.5737032371</v>
      </c>
      <c r="I15" s="297">
        <f t="shared" si="2"/>
        <v>0.0935422639099188</v>
      </c>
      <c r="J15" s="250"/>
      <c r="K15" s="103">
        <v>5.15</v>
      </c>
      <c r="L15" s="300">
        <f>K15*E17</f>
        <v>14553.900000000001</v>
      </c>
      <c r="M15" s="103">
        <f>F17-L15</f>
        <v>580.3527594090465</v>
      </c>
      <c r="N15" s="264">
        <f>G17/K15-1</f>
        <v>0.03987609914930346</v>
      </c>
      <c r="O15" s="299">
        <v>45</v>
      </c>
      <c r="P15" s="299">
        <f>C17-O15</f>
        <v>96.30000000000001</v>
      </c>
      <c r="Q15" s="123">
        <v>4.57</v>
      </c>
      <c r="R15" s="123">
        <f t="shared" si="9"/>
        <v>13984.2</v>
      </c>
      <c r="S15" s="123">
        <f t="shared" si="10"/>
        <v>1072.8573703237107</v>
      </c>
      <c r="T15" s="123">
        <f t="shared" si="11"/>
        <v>10728.573703237107</v>
      </c>
      <c r="U15" s="112">
        <f>lin12!H10</f>
        <v>32.21052631578947</v>
      </c>
    </row>
    <row r="16" spans="1:21" ht="15.75">
      <c r="A16" s="249">
        <v>13</v>
      </c>
      <c r="B16" s="249">
        <f>Lin13!G8</f>
        <v>15</v>
      </c>
      <c r="C16" s="250">
        <f>Lin13!G11</f>
        <v>110</v>
      </c>
      <c r="D16" s="249">
        <f>Lin13!G22</f>
        <v>20</v>
      </c>
      <c r="E16" s="250">
        <f>C16*D16</f>
        <v>2200</v>
      </c>
      <c r="F16" s="250">
        <f>Lin13!H59</f>
        <v>9400.112263301959</v>
      </c>
      <c r="G16" s="250">
        <f>F16/E16</f>
        <v>4.272778301500891</v>
      </c>
      <c r="H16" s="250">
        <f t="shared" si="5"/>
        <v>94001.12263301958</v>
      </c>
      <c r="I16" s="297">
        <f t="shared" si="2"/>
        <v>0.05839838160208535</v>
      </c>
      <c r="J16" s="250"/>
      <c r="K16" s="103">
        <v>6.98</v>
      </c>
      <c r="L16" s="300">
        <f>K16*E19</f>
        <v>15635.2</v>
      </c>
      <c r="M16" s="103">
        <f>F19-L16</f>
        <v>1442.2137781906895</v>
      </c>
      <c r="N16" s="264">
        <f>G19/K16-1</f>
        <v>0.09224146657482413</v>
      </c>
      <c r="O16" s="299">
        <v>73</v>
      </c>
      <c r="P16" s="299">
        <f>C19-O16</f>
        <v>39</v>
      </c>
      <c r="Q16" s="123">
        <v>4.9</v>
      </c>
      <c r="R16" s="123">
        <f t="shared" si="9"/>
        <v>10780</v>
      </c>
      <c r="S16" s="123">
        <f t="shared" si="10"/>
        <v>-1379.8877366980414</v>
      </c>
      <c r="T16" s="123">
        <f t="shared" si="11"/>
        <v>-13798.877366980414</v>
      </c>
      <c r="U16" s="112">
        <f>Lin13!H10</f>
        <v>33.84615384615385</v>
      </c>
    </row>
    <row r="17" spans="1:21" ht="15.75">
      <c r="A17" s="249">
        <v>14</v>
      </c>
      <c r="B17" s="249">
        <f>Lin14!G8</f>
        <v>24</v>
      </c>
      <c r="C17" s="250">
        <f>Lin14!G11</f>
        <v>141.3</v>
      </c>
      <c r="D17" s="249">
        <f>Lin14!G22</f>
        <v>20</v>
      </c>
      <c r="E17" s="250">
        <f t="shared" si="0"/>
        <v>2826</v>
      </c>
      <c r="F17" s="250">
        <f>Lin14!H59</f>
        <v>15134.252759409048</v>
      </c>
      <c r="G17" s="250">
        <f t="shared" si="1"/>
        <v>5.355361910618913</v>
      </c>
      <c r="H17" s="250">
        <f t="shared" si="5"/>
        <v>151342.52759409047</v>
      </c>
      <c r="I17" s="297">
        <f t="shared" si="2"/>
        <v>0.09402184177701794</v>
      </c>
      <c r="J17" s="250"/>
      <c r="N17" s="264"/>
      <c r="Q17" s="123">
        <v>5.05</v>
      </c>
      <c r="R17" s="123">
        <f t="shared" si="9"/>
        <v>14271.3</v>
      </c>
      <c r="S17" s="123">
        <f t="shared" si="10"/>
        <v>862.9527594090487</v>
      </c>
      <c r="T17" s="123">
        <f t="shared" si="11"/>
        <v>8629.527594090487</v>
      </c>
      <c r="U17" s="112">
        <f>Lin14!H10</f>
        <v>28.73898305084746</v>
      </c>
    </row>
    <row r="18" spans="1:21" ht="15.75">
      <c r="A18" s="249">
        <v>15</v>
      </c>
      <c r="B18" s="249">
        <f>Lin15!G8</f>
        <v>25</v>
      </c>
      <c r="C18" s="250">
        <f>Lin15!G11</f>
        <v>101</v>
      </c>
      <c r="D18" s="249">
        <f>Lin15!G22</f>
        <v>20</v>
      </c>
      <c r="E18" s="250">
        <f>C18*D18</f>
        <v>2020</v>
      </c>
      <c r="F18" s="250">
        <f>Lin15!H59</f>
        <v>12091.374353532272</v>
      </c>
      <c r="G18" s="250">
        <f>F18/E18</f>
        <v>5.985828887887263</v>
      </c>
      <c r="H18" s="250">
        <f t="shared" si="5"/>
        <v>120913.74353532272</v>
      </c>
      <c r="I18" s="297">
        <f t="shared" si="2"/>
        <v>0.07511790006465408</v>
      </c>
      <c r="J18" s="250">
        <f>H22/B22</f>
        <v>3037.080889502133</v>
      </c>
      <c r="L18" s="103">
        <f>SUM(L8:L17)</f>
        <v>105848.99999999999</v>
      </c>
      <c r="M18" s="103">
        <f>F22-L18</f>
        <v>55116.28714361308</v>
      </c>
      <c r="N18" s="264"/>
      <c r="O18" s="103">
        <f>SUM(O8:O17)</f>
        <v>1005.6</v>
      </c>
      <c r="P18" s="103">
        <f>SUM(P8:P17)</f>
        <v>-49.79999999999998</v>
      </c>
      <c r="Q18" s="123">
        <v>5.66</v>
      </c>
      <c r="R18" s="123">
        <f t="shared" si="9"/>
        <v>11433.2</v>
      </c>
      <c r="S18" s="123">
        <f t="shared" si="10"/>
        <v>658.1743535322712</v>
      </c>
      <c r="T18" s="123">
        <f t="shared" si="11"/>
        <v>6581.743535322712</v>
      </c>
      <c r="U18" s="112">
        <f>Lin15!H10</f>
        <v>23.764705882352942</v>
      </c>
    </row>
    <row r="19" spans="1:21" ht="15.75">
      <c r="A19" s="249">
        <v>20</v>
      </c>
      <c r="B19" s="249">
        <f>Lin20!G8</f>
        <v>90</v>
      </c>
      <c r="C19" s="250">
        <f>Lin20!G11</f>
        <v>112</v>
      </c>
      <c r="D19" s="249">
        <f>Lin20!G22</f>
        <v>20</v>
      </c>
      <c r="E19" s="250">
        <f>C19*D19</f>
        <v>2240</v>
      </c>
      <c r="F19" s="250">
        <f>Lin20!H59</f>
        <v>17077.41377819069</v>
      </c>
      <c r="G19" s="250">
        <f>F19/E19</f>
        <v>7.623845436692273</v>
      </c>
      <c r="H19" s="250">
        <f t="shared" si="5"/>
        <v>170774.1377819069</v>
      </c>
      <c r="I19" s="297">
        <f t="shared" si="2"/>
        <v>0.10609376767646952</v>
      </c>
      <c r="J19" s="255"/>
      <c r="Q19" s="123">
        <v>6.79</v>
      </c>
      <c r="R19" s="123">
        <f t="shared" si="9"/>
        <v>15209.6</v>
      </c>
      <c r="S19" s="123">
        <f t="shared" si="10"/>
        <v>1867.8137781906898</v>
      </c>
      <c r="T19" s="123">
        <f t="shared" si="11"/>
        <v>18678.1377819069</v>
      </c>
      <c r="U19" s="112">
        <f>Lin20!H10</f>
        <v>26.880000000000003</v>
      </c>
    </row>
    <row r="20" spans="1:21" ht="15.75">
      <c r="A20" s="249">
        <v>21</v>
      </c>
      <c r="B20" s="249">
        <f>Lin21!G8</f>
        <v>75</v>
      </c>
      <c r="C20" s="250">
        <f>Lin21!G11</f>
        <v>54.6</v>
      </c>
      <c r="D20" s="249">
        <v>20</v>
      </c>
      <c r="E20" s="250">
        <f>C20*D20</f>
        <v>1092</v>
      </c>
      <c r="F20" s="250">
        <f>Lin21!H59</f>
        <v>10509.060868643017</v>
      </c>
      <c r="G20" s="250">
        <f>Lin21!H61</f>
        <v>9.623682114141957</v>
      </c>
      <c r="H20" s="250">
        <f t="shared" si="5"/>
        <v>105090.60868643018</v>
      </c>
      <c r="I20" s="297">
        <f t="shared" si="2"/>
        <v>0.06528774653920782</v>
      </c>
      <c r="J20" s="304"/>
      <c r="Q20" s="123">
        <v>8.57</v>
      </c>
      <c r="R20" s="123">
        <f t="shared" si="9"/>
        <v>9358.44</v>
      </c>
      <c r="S20" s="123">
        <f t="shared" si="10"/>
        <v>1150.6208686430164</v>
      </c>
      <c r="T20" s="123">
        <f t="shared" si="11"/>
        <v>11506.208686430164</v>
      </c>
      <c r="U20" s="112">
        <f>Lin21!H10</f>
        <v>24.266666666666666</v>
      </c>
    </row>
    <row r="21" spans="1:21" ht="15.75">
      <c r="A21" s="249"/>
      <c r="B21" s="249"/>
      <c r="C21" s="250"/>
      <c r="D21" s="249"/>
      <c r="E21" s="250"/>
      <c r="F21" s="250"/>
      <c r="G21" s="250"/>
      <c r="H21" s="250"/>
      <c r="I21" s="251"/>
      <c r="M21" s="264"/>
      <c r="N21" s="264"/>
      <c r="Q21" s="123"/>
      <c r="R21" s="123"/>
      <c r="S21" s="123"/>
      <c r="T21" s="123"/>
      <c r="U21" s="112"/>
    </row>
    <row r="22" spans="1:21" ht="15.75">
      <c r="A22" s="249" t="s">
        <v>182</v>
      </c>
      <c r="B22" s="249">
        <f>SUM(B8:B20)</f>
        <v>530</v>
      </c>
      <c r="C22" s="250">
        <f>SUM(C8:C21)</f>
        <v>1374.3999999999999</v>
      </c>
      <c r="D22" s="249">
        <v>20</v>
      </c>
      <c r="E22" s="250">
        <f>SUM(E8:E21)</f>
        <v>27488</v>
      </c>
      <c r="F22" s="250">
        <f>SUM(F8:F21)</f>
        <v>160965.28714361307</v>
      </c>
      <c r="G22" s="250"/>
      <c r="H22" s="250">
        <f>SUM(H8:H20)</f>
        <v>1609652.8714361305</v>
      </c>
      <c r="I22" s="251">
        <f>H22/$H$22</f>
        <v>1</v>
      </c>
      <c r="Q22" s="123"/>
      <c r="R22" s="123">
        <f>SUM(R8:R21)</f>
        <v>152462.04</v>
      </c>
      <c r="S22" s="123">
        <f>SUM(S8:S21)</f>
        <v>8503.247143613045</v>
      </c>
      <c r="T22" s="123">
        <f>SUM(T8:T21)</f>
        <v>85032.47143613047</v>
      </c>
      <c r="U22" s="112"/>
    </row>
    <row r="23" spans="1:9" ht="15.75">
      <c r="A23" s="252"/>
      <c r="B23" s="253"/>
      <c r="C23" s="254"/>
      <c r="D23" s="254"/>
      <c r="E23" s="254"/>
      <c r="F23" s="255"/>
      <c r="G23" s="255"/>
      <c r="H23" s="255"/>
      <c r="I23" s="250"/>
    </row>
    <row r="24" ht="15.75">
      <c r="A24" s="242"/>
    </row>
    <row r="25" ht="15">
      <c r="A25" s="103" t="s">
        <v>321</v>
      </c>
    </row>
    <row r="26" spans="5:6" ht="15">
      <c r="E26" s="103" t="s">
        <v>28</v>
      </c>
      <c r="F26" s="264"/>
    </row>
    <row r="28" spans="1:6" ht="15">
      <c r="A28" s="103" t="s">
        <v>172</v>
      </c>
      <c r="F28" s="264"/>
    </row>
    <row r="31" ht="15">
      <c r="C31" s="264"/>
    </row>
    <row r="32" ht="15">
      <c r="C32" s="264"/>
    </row>
  </sheetData>
  <sheetProtection/>
  <mergeCells count="5">
    <mergeCell ref="A1:J1"/>
    <mergeCell ref="A2:J2"/>
    <mergeCell ref="A3:J3"/>
    <mergeCell ref="A4:J4"/>
    <mergeCell ref="A6:I6"/>
  </mergeCells>
  <printOptions/>
  <pageMargins left="0.7874015748031497" right="0.1968503937007874" top="0.5905511811023623" bottom="0.5905511811023623" header="0.5118110236220472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73">
      <selection activeCell="B6" sqref="B6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308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15</v>
      </c>
      <c r="C8" s="321"/>
      <c r="D8" s="104"/>
      <c r="E8" s="104"/>
      <c r="F8" s="104"/>
      <c r="G8" s="105">
        <f>SUM(B8:F8)</f>
        <v>15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110</v>
      </c>
      <c r="C10" s="323"/>
      <c r="D10" s="108"/>
      <c r="E10" s="108"/>
      <c r="F10" s="108"/>
      <c r="G10" s="109">
        <f>SUM(B10:F10)</f>
        <v>110</v>
      </c>
      <c r="H10" s="305">
        <f>G10/G13</f>
        <v>33.84615384615385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110</v>
      </c>
      <c r="H11" s="103"/>
      <c r="I11" s="103"/>
      <c r="J11" s="302"/>
      <c r="K11" s="302"/>
      <c r="L11" s="302"/>
      <c r="M11" s="302"/>
    </row>
    <row r="12" spans="1:12" ht="15.75">
      <c r="A12" s="258" t="s">
        <v>109</v>
      </c>
      <c r="B12" s="324" t="s">
        <v>313</v>
      </c>
      <c r="C12" s="325"/>
      <c r="D12" s="102" t="s">
        <v>302</v>
      </c>
      <c r="E12" s="303"/>
      <c r="F12" s="111"/>
      <c r="G12" s="112" t="s">
        <v>110</v>
      </c>
      <c r="H12" s="103"/>
      <c r="I12" s="103"/>
      <c r="J12" s="302"/>
      <c r="K12" s="302"/>
      <c r="L12" s="302"/>
    </row>
    <row r="13" spans="1:10" ht="15.75">
      <c r="A13" s="258" t="s">
        <v>111</v>
      </c>
      <c r="B13" s="324">
        <f>5/60+1</f>
        <v>1.0833333333333333</v>
      </c>
      <c r="C13" s="325"/>
      <c r="D13" s="102">
        <f>10/60+2</f>
        <v>2.1666666666666665</v>
      </c>
      <c r="E13" s="108"/>
      <c r="F13" s="113">
        <f>F10/20</f>
        <v>0</v>
      </c>
      <c r="G13" s="109">
        <f>SUM(B13:F13)</f>
        <v>3.25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5.25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270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107000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5.05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4.5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2200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2468.8888888888887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1100</v>
      </c>
      <c r="C27" s="120"/>
      <c r="D27" s="267" t="s">
        <v>196</v>
      </c>
      <c r="E27" s="268" t="s">
        <v>2</v>
      </c>
      <c r="F27" s="269">
        <v>4</v>
      </c>
      <c r="G27" s="270">
        <v>1273</v>
      </c>
      <c r="H27" s="271">
        <f>F27*G27</f>
        <v>5092</v>
      </c>
      <c r="I27" s="103"/>
    </row>
    <row r="28" spans="1:9" ht="15.75">
      <c r="A28" s="112" t="str">
        <f>D25</f>
        <v>1.3 Pneus</v>
      </c>
      <c r="B28" s="287">
        <f>H31</f>
        <v>239.03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8</v>
      </c>
      <c r="G29" s="270">
        <v>450</v>
      </c>
      <c r="H29" s="271">
        <f>F29*G29</f>
        <v>3600</v>
      </c>
      <c r="I29" s="103"/>
    </row>
    <row r="30" spans="1:9" ht="15.75">
      <c r="A30" s="102" t="s">
        <v>117</v>
      </c>
      <c r="B30" s="124">
        <f>SUM(B26:B29)</f>
        <v>3807.918888888889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8692</v>
      </c>
      <c r="H30" s="276">
        <f>_xlfn.IFERROR(G30/F30,"-")</f>
        <v>0.10865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2200</v>
      </c>
      <c r="G31" s="276">
        <f>H30</f>
        <v>0.10865</v>
      </c>
      <c r="H31" s="286">
        <f>_xlfn.IFERROR(F31*G31,0)</f>
        <v>239.03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14712.500000000002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2321.75</v>
      </c>
      <c r="E35" s="309">
        <f>'Encargos Sociais'!C38</f>
        <v>0.352117</v>
      </c>
      <c r="F35" s="132">
        <f>(D35*E35)+D35</f>
        <v>3139.27764475</v>
      </c>
      <c r="G35" s="136">
        <v>10</v>
      </c>
      <c r="H35" s="110">
        <f>F35*G35</f>
        <v>31392.7764475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5045.406666666667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36851.016447500006</v>
      </c>
      <c r="I40" s="97"/>
    </row>
    <row r="41" spans="1:9" ht="15.75" thickBot="1">
      <c r="A41" s="123" t="s">
        <v>132</v>
      </c>
      <c r="B41" s="133">
        <f>H40*B40</f>
        <v>36851.016447500006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59703.02311416667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3561.828083515625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0.5965909090909091</v>
      </c>
      <c r="C44" s="125"/>
      <c r="D44" s="146" t="s">
        <v>134</v>
      </c>
      <c r="E44" s="147" t="s">
        <v>2</v>
      </c>
      <c r="F44" s="148">
        <v>1</v>
      </c>
      <c r="G44" s="149">
        <f>G18</f>
        <v>107000</v>
      </c>
      <c r="H44" s="150">
        <f>F44*G44</f>
        <v>107000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107000</v>
      </c>
      <c r="H47" s="155">
        <f>F47*G47/100</f>
        <v>75681.1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75681.1</v>
      </c>
      <c r="H48" s="164">
        <f>_xlfn.IFERROR(G48/F48,0)*12</f>
        <v>5045.406666666667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7369.746972404514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7369.746972404514</v>
      </c>
      <c r="F54" s="150">
        <f>D54*E54/1</f>
        <v>2030.3652908974439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2030.3652908974439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2030.3652908974439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9400.112263301959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4.272778301500891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3807.918888888889</v>
      </c>
      <c r="G65" s="203">
        <f>F65/$F$74</f>
        <v>0.4050929161511193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2468.8888888888887</v>
      </c>
      <c r="G66" s="207">
        <f aca="true" t="shared" si="0" ref="G66:G72">F66/$F$74</f>
        <v>0.26264461739754236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1100</v>
      </c>
      <c r="G67" s="207">
        <f t="shared" si="0"/>
        <v>0.11701987903850897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239.03</v>
      </c>
      <c r="G68" s="207">
        <f t="shared" si="0"/>
        <v>0.025428419715068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3561.828083515625</v>
      </c>
      <c r="G69" s="203">
        <f t="shared" si="0"/>
        <v>0.378913355899057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3561.828083515625</v>
      </c>
      <c r="G70" s="207">
        <f>F70/$F$74</f>
        <v>0.378913355899057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7369.746972404514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2030.3652908974439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9400.112263301959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110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2200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4.272778301500891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232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110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4.272778301500891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318</v>
      </c>
      <c r="B94" s="247" t="str">
        <f>B17</f>
        <v>Veículo no mínimo de 15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4.5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7:C7"/>
    <mergeCell ref="B8:C8"/>
    <mergeCell ref="B10:C10"/>
    <mergeCell ref="B12:C12"/>
    <mergeCell ref="B13:C13"/>
    <mergeCell ref="A18:F18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299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24</v>
      </c>
      <c r="C8" s="321"/>
      <c r="D8" s="104"/>
      <c r="E8" s="104"/>
      <c r="F8" s="104"/>
      <c r="G8" s="105">
        <f>SUM(B8:F8)</f>
        <v>24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141.3</v>
      </c>
      <c r="C10" s="323"/>
      <c r="D10" s="108"/>
      <c r="E10" s="108"/>
      <c r="F10" s="108"/>
      <c r="G10" s="109">
        <f>SUM(B10:F10)</f>
        <v>141.3</v>
      </c>
      <c r="H10" s="305">
        <f>G10/G13</f>
        <v>28.73898305084746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141.3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300</v>
      </c>
      <c r="C12" s="325"/>
      <c r="D12" s="102" t="s">
        <v>301</v>
      </c>
      <c r="E12" s="303"/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35/60+2</f>
        <v>2.5833333333333335</v>
      </c>
      <c r="C13" s="325"/>
      <c r="D13" s="102">
        <f>20/60+2</f>
        <v>2.3333333333333335</v>
      </c>
      <c r="E13" s="108">
        <f>E10/20</f>
        <v>0</v>
      </c>
      <c r="F13" s="113"/>
      <c r="G13" s="109">
        <f>SUM(B13:F13)</f>
        <v>4.916666666666667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6.916666666666667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242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115000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2826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4514.535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1554.3000000000002</v>
      </c>
      <c r="C27" s="120"/>
      <c r="D27" s="267" t="s">
        <v>196</v>
      </c>
      <c r="E27" s="268" t="s">
        <v>2</v>
      </c>
      <c r="F27" s="269">
        <v>6</v>
      </c>
      <c r="G27" s="270">
        <v>1500</v>
      </c>
      <c r="H27" s="271">
        <f>F27*G27</f>
        <v>9000</v>
      </c>
      <c r="I27" s="103"/>
    </row>
    <row r="28" spans="1:9" ht="15.75">
      <c r="A28" s="112" t="str">
        <f>D25</f>
        <v>1.3 Pneus</v>
      </c>
      <c r="B28" s="287">
        <f>H31</f>
        <v>508.68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450</v>
      </c>
      <c r="H29" s="271">
        <f>F29*G29</f>
        <v>5400</v>
      </c>
      <c r="I29" s="103"/>
    </row>
    <row r="30" spans="1:9" ht="15.75">
      <c r="A30" s="102" t="s">
        <v>117</v>
      </c>
      <c r="B30" s="124">
        <f>SUM(B26:B29)</f>
        <v>6577.515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14400</v>
      </c>
      <c r="H30" s="276">
        <f>_xlfn.IFERROR(G30/F30,"-")</f>
        <v>0.18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2826</v>
      </c>
      <c r="G31" s="276">
        <f>H30</f>
        <v>0.18</v>
      </c>
      <c r="H31" s="286">
        <f>_xlfn.IFERROR(F31*G31,0)</f>
        <v>508.68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15812.500000000002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2772.62</v>
      </c>
      <c r="E35" s="309">
        <f>'Encargos Sociais'!C38</f>
        <v>0.352117</v>
      </c>
      <c r="F35" s="132">
        <f>(D35*E35)+D35</f>
        <v>3748.90663654</v>
      </c>
      <c r="G35" s="136">
        <v>10</v>
      </c>
      <c r="H35" s="110">
        <f>F35*G35</f>
        <v>37489.0663654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5422.633333333333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42947.30636540001</v>
      </c>
      <c r="I40" s="97"/>
    </row>
    <row r="41" spans="1:9" ht="15.75" thickBot="1">
      <c r="A41" s="123" t="s">
        <v>132</v>
      </c>
      <c r="B41" s="133">
        <f>H40*B40</f>
        <v>42947.30636540001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67276.53969873334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5287.834086169382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0.7859848484848485</v>
      </c>
      <c r="C44" s="125"/>
      <c r="D44" s="146" t="s">
        <v>134</v>
      </c>
      <c r="E44" s="147" t="s">
        <v>2</v>
      </c>
      <c r="F44" s="148">
        <v>1</v>
      </c>
      <c r="G44" s="149">
        <f>G18</f>
        <v>115000</v>
      </c>
      <c r="H44" s="150">
        <f>F44*G44</f>
        <v>115000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115000</v>
      </c>
      <c r="H47" s="155">
        <f>F47*G47/100</f>
        <v>81339.5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81339.5</v>
      </c>
      <c r="H48" s="164">
        <f>_xlfn.IFERROR(G48/F48,0)*12</f>
        <v>5422.633333333333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11865.349086169383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11865.349086169383</v>
      </c>
      <c r="F54" s="150">
        <f>D54*E54/1</f>
        <v>3268.9036732396653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3268.9036732396653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3268.9036732396653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15134.252759409048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5.355361910618913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6577.515</v>
      </c>
      <c r="G65" s="203">
        <f>F65/$F$74</f>
        <v>0.4346111502538983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4514.535</v>
      </c>
      <c r="G66" s="207">
        <f aca="true" t="shared" si="0" ref="G66:G72">F66/$F$74</f>
        <v>0.29829916757490976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1554.3000000000002</v>
      </c>
      <c r="G67" s="207">
        <f t="shared" si="0"/>
        <v>0.10270080886773107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508.68</v>
      </c>
      <c r="G68" s="207">
        <f t="shared" si="0"/>
        <v>0.03361117381125744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5287.834086169382</v>
      </c>
      <c r="G69" s="203">
        <f t="shared" si="0"/>
        <v>0.34939512179627813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5287.834086169382</v>
      </c>
      <c r="G70" s="207">
        <f>F70/$F$74</f>
        <v>0.34939512179627813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11865.349086169383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3268.9036732396653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15134.252759409048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141.3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2826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5.355361910618913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264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141.3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5.355361910618913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320</v>
      </c>
      <c r="B94" s="247" t="str">
        <f>B17</f>
        <v>Veículo no mínimo de 24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F85:H86"/>
    <mergeCell ref="A22:F22"/>
    <mergeCell ref="A23:F23"/>
    <mergeCell ref="A33:H33"/>
    <mergeCell ref="A50:G50"/>
    <mergeCell ref="A52:G52"/>
    <mergeCell ref="A63:G63"/>
    <mergeCell ref="A16:F16"/>
    <mergeCell ref="B17:G17"/>
    <mergeCell ref="A18:F18"/>
    <mergeCell ref="A19:F19"/>
    <mergeCell ref="A20:F20"/>
    <mergeCell ref="A21:F21"/>
    <mergeCell ref="B10:C10"/>
    <mergeCell ref="A11:F11"/>
    <mergeCell ref="B12:C12"/>
    <mergeCell ref="B13:C13"/>
    <mergeCell ref="A14:F14"/>
    <mergeCell ref="A15:F15"/>
    <mergeCell ref="A1:H1"/>
    <mergeCell ref="A2:H2"/>
    <mergeCell ref="A3:H3"/>
    <mergeCell ref="A4:H4"/>
    <mergeCell ref="B7:C7"/>
    <mergeCell ref="B8:C8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A94" sqref="A94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309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25</v>
      </c>
      <c r="C8" s="321"/>
      <c r="D8" s="104"/>
      <c r="E8" s="104"/>
      <c r="F8" s="104"/>
      <c r="G8" s="105">
        <f>SUM(B8:F8)</f>
        <v>25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101</v>
      </c>
      <c r="C10" s="323"/>
      <c r="D10" s="108"/>
      <c r="E10" s="108"/>
      <c r="F10" s="108"/>
      <c r="G10" s="109">
        <f>SUM(B10:F10)</f>
        <v>101</v>
      </c>
      <c r="H10" s="305">
        <f>G10/G13</f>
        <v>23.764705882352942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101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302</v>
      </c>
      <c r="C12" s="325"/>
      <c r="D12" s="102" t="s">
        <v>303</v>
      </c>
      <c r="E12" s="303"/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10/60+2</f>
        <v>2.1666666666666665</v>
      </c>
      <c r="C13" s="325"/>
      <c r="D13" s="102">
        <f>5/60+2</f>
        <v>2.0833333333333335</v>
      </c>
      <c r="E13" s="108">
        <f>E10/20</f>
        <v>0</v>
      </c>
      <c r="F13" s="113"/>
      <c r="G13" s="109">
        <f>SUM(B13:F13)</f>
        <v>4.25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6.25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268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115000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2020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3226.95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1111</v>
      </c>
      <c r="C27" s="120"/>
      <c r="D27" s="267" t="s">
        <v>196</v>
      </c>
      <c r="E27" s="268" t="s">
        <v>2</v>
      </c>
      <c r="F27" s="269">
        <v>6</v>
      </c>
      <c r="G27" s="270">
        <v>1500</v>
      </c>
      <c r="H27" s="271">
        <f>F27*G27</f>
        <v>9000</v>
      </c>
      <c r="I27" s="103"/>
    </row>
    <row r="28" spans="1:9" ht="15.75">
      <c r="A28" s="112" t="str">
        <f>D25</f>
        <v>1.3 Pneus</v>
      </c>
      <c r="B28" s="287">
        <f>H31</f>
        <v>363.59999999999997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450</v>
      </c>
      <c r="H29" s="271">
        <f>F29*G29</f>
        <v>5400</v>
      </c>
      <c r="I29" s="103"/>
    </row>
    <row r="30" spans="1:9" ht="15.75">
      <c r="A30" s="102" t="s">
        <v>117</v>
      </c>
      <c r="B30" s="124">
        <f>SUM(B26:B29)</f>
        <v>4701.55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14400</v>
      </c>
      <c r="H30" s="276">
        <f>_xlfn.IFERROR(G30/F30,"-")</f>
        <v>0.18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2020</v>
      </c>
      <c r="G31" s="276">
        <f>H30</f>
        <v>0.18</v>
      </c>
      <c r="H31" s="286">
        <f>_xlfn.IFERROR(F31*G31,0)</f>
        <v>363.59999999999997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15812.500000000002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2772.62</v>
      </c>
      <c r="E35" s="309">
        <f>'Encargos Sociais'!C38</f>
        <v>0.352117</v>
      </c>
      <c r="F35" s="132">
        <f>(D35*E35)+D35</f>
        <v>3748.90663654</v>
      </c>
      <c r="G35" s="136">
        <v>10</v>
      </c>
      <c r="H35" s="110">
        <f>F35*G35</f>
        <v>37489.0663654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5422.633333333333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42947.30636540001</v>
      </c>
      <c r="I40" s="97"/>
    </row>
    <row r="41" spans="1:9" ht="15.75" thickBot="1">
      <c r="A41" s="123" t="s">
        <v>132</v>
      </c>
      <c r="B41" s="133">
        <f>H40*B40</f>
        <v>42947.30636540001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67276.53969873334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4778.163330875947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0.7102272727272727</v>
      </c>
      <c r="C44" s="125"/>
      <c r="D44" s="146" t="s">
        <v>134</v>
      </c>
      <c r="E44" s="147" t="s">
        <v>2</v>
      </c>
      <c r="F44" s="148">
        <v>1</v>
      </c>
      <c r="G44" s="149">
        <f>G18</f>
        <v>115000</v>
      </c>
      <c r="H44" s="150">
        <f>F44*G44</f>
        <v>115000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115000</v>
      </c>
      <c r="H47" s="155">
        <f>F47*G47/100</f>
        <v>81339.5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81339.5</v>
      </c>
      <c r="H48" s="164">
        <f>_xlfn.IFERROR(G48/F48,0)*12</f>
        <v>5422.633333333333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9479.713330875948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9479.713330875948</v>
      </c>
      <c r="F54" s="150">
        <f>D54*E54/1</f>
        <v>2611.661022656324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2611.661022656324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2611.661022656324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12091.374353532272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5.985828887887263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4701.55</v>
      </c>
      <c r="G65" s="203">
        <f>F65/$F$74</f>
        <v>0.38883503748492654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3226.95</v>
      </c>
      <c r="G66" s="207">
        <f aca="true" t="shared" si="0" ref="G66:G72">F66/$F$74</f>
        <v>0.26688033185055643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1111</v>
      </c>
      <c r="G67" s="207">
        <f t="shared" si="0"/>
        <v>0.09188368232726513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363.59999999999997</v>
      </c>
      <c r="G68" s="207">
        <f t="shared" si="0"/>
        <v>0.030071023307104948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4778.163330875947</v>
      </c>
      <c r="G69" s="203">
        <f t="shared" si="0"/>
        <v>0.39517123456524983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4778.163330875947</v>
      </c>
      <c r="G70" s="207">
        <f>F70/$F$74</f>
        <v>0.39517123456524983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9479.713330875948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2611.661022656324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12091.374353532272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101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2020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5.985828887887263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262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101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5.985828887887263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304</v>
      </c>
      <c r="B94" s="247" t="str">
        <f>B17</f>
        <v>Veículo no mínimo de 26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F85:H86"/>
    <mergeCell ref="A22:F22"/>
    <mergeCell ref="A23:F23"/>
    <mergeCell ref="A33:H33"/>
    <mergeCell ref="A50:G50"/>
    <mergeCell ref="A52:G52"/>
    <mergeCell ref="A63:G63"/>
    <mergeCell ref="A16:F16"/>
    <mergeCell ref="B17:G17"/>
    <mergeCell ref="A18:F18"/>
    <mergeCell ref="A19:F19"/>
    <mergeCell ref="A20:F20"/>
    <mergeCell ref="A21:F21"/>
    <mergeCell ref="B10:C10"/>
    <mergeCell ref="A11:F11"/>
    <mergeCell ref="B12:C12"/>
    <mergeCell ref="B13:C13"/>
    <mergeCell ref="A14:F14"/>
    <mergeCell ref="A15:F15"/>
    <mergeCell ref="A1:H1"/>
    <mergeCell ref="A2:H2"/>
    <mergeCell ref="A3:H3"/>
    <mergeCell ref="A4:H4"/>
    <mergeCell ref="B7:C7"/>
    <mergeCell ref="B8:C8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79">
      <selection activeCell="B17" sqref="B17:G17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310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90</v>
      </c>
      <c r="C8" s="321"/>
      <c r="D8" s="104"/>
      <c r="E8" s="104"/>
      <c r="F8" s="104"/>
      <c r="G8" s="105">
        <f>SUM(B8:F8)</f>
        <v>90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112</v>
      </c>
      <c r="C10" s="323"/>
      <c r="D10" s="108"/>
      <c r="E10" s="108"/>
      <c r="F10" s="108"/>
      <c r="G10" s="109">
        <f>SUM(B10:F10)</f>
        <v>112</v>
      </c>
      <c r="H10" s="305">
        <f>G10/G13</f>
        <v>26.880000000000003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112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286</v>
      </c>
      <c r="C12" s="325"/>
      <c r="D12" s="102" t="s">
        <v>305</v>
      </c>
      <c r="E12" s="303" t="s">
        <v>277</v>
      </c>
      <c r="F12" s="303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10/60+1</f>
        <v>1.1666666666666667</v>
      </c>
      <c r="C13" s="325"/>
      <c r="D13" s="102">
        <f>40/60+1</f>
        <v>1.6666666666666665</v>
      </c>
      <c r="E13" s="108">
        <f>20/60+1</f>
        <v>1.3333333333333333</v>
      </c>
      <c r="F13" s="110"/>
      <c r="G13" s="109">
        <f>SUM(B13:F13)</f>
        <v>4.166666666666666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7.666666666666666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272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124000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3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0.6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2240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4771.2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1344</v>
      </c>
      <c r="C27" s="120"/>
      <c r="D27" s="267" t="s">
        <v>196</v>
      </c>
      <c r="E27" s="268" t="s">
        <v>2</v>
      </c>
      <c r="F27" s="269">
        <v>6</v>
      </c>
      <c r="G27" s="270">
        <v>2600</v>
      </c>
      <c r="H27" s="271">
        <f>F27*G27</f>
        <v>15600</v>
      </c>
      <c r="I27" s="103"/>
    </row>
    <row r="28" spans="1:9" ht="15.75">
      <c r="A28" s="112" t="str">
        <f>D25</f>
        <v>1.3 Pneus</v>
      </c>
      <c r="B28" s="287">
        <f>H31</f>
        <v>688.8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750</v>
      </c>
      <c r="H29" s="271">
        <f>F29*G29</f>
        <v>9000</v>
      </c>
      <c r="I29" s="103"/>
    </row>
    <row r="30" spans="1:9" ht="15.75">
      <c r="A30" s="102" t="s">
        <v>117</v>
      </c>
      <c r="B30" s="124">
        <f>SUM(B26:B29)</f>
        <v>6804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24600</v>
      </c>
      <c r="H30" s="276">
        <f>_xlfn.IFERROR(G30/F30,"-")</f>
        <v>0.3075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2240</v>
      </c>
      <c r="G31" s="276">
        <f>H30</f>
        <v>0.3075</v>
      </c>
      <c r="H31" s="286">
        <f>_xlfn.IFERROR(F31*G31,0)</f>
        <v>688.8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17050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3263.97</v>
      </c>
      <c r="E35" s="309">
        <f>'Encargos Sociais'!C38</f>
        <v>0.352117</v>
      </c>
      <c r="F35" s="132">
        <f>(D35*E35)+D35</f>
        <v>4413.26932449</v>
      </c>
      <c r="G35" s="136">
        <v>10</v>
      </c>
      <c r="H35" s="110">
        <f>F35*G35</f>
        <v>44132.6932449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5847.013333333332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49590.93324490001</v>
      </c>
      <c r="I40" s="97"/>
    </row>
    <row r="41" spans="1:9" ht="15.75" thickBot="1">
      <c r="A41" s="123" t="s">
        <v>132</v>
      </c>
      <c r="B41" s="133">
        <f>H40*B40</f>
        <v>49590.93324490001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75582.04657823333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6584.7995124976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0.8712121212121211</v>
      </c>
      <c r="C44" s="125"/>
      <c r="D44" s="146" t="s">
        <v>134</v>
      </c>
      <c r="E44" s="147" t="s">
        <v>2</v>
      </c>
      <c r="F44" s="148">
        <v>1</v>
      </c>
      <c r="G44" s="149">
        <f>G18</f>
        <v>124000</v>
      </c>
      <c r="H44" s="150">
        <f>F44*G44</f>
        <v>124000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124000</v>
      </c>
      <c r="H47" s="155">
        <f>F47*G47/100</f>
        <v>87705.2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87705.2</v>
      </c>
      <c r="H48" s="164">
        <f>_xlfn.IFERROR(G48/F48,0)*12</f>
        <v>5847.013333333332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13388.7995124976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13388.7995124976</v>
      </c>
      <c r="F54" s="150">
        <f>D54*E54/1</f>
        <v>3688.6142656930892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3688.6142656930892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3688.6142656930892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17077.41377819069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7.623845436692273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6804</v>
      </c>
      <c r="G65" s="203">
        <f>F65/$F$74</f>
        <v>0.39842098390151365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4771.2</v>
      </c>
      <c r="G66" s="207">
        <f aca="true" t="shared" si="0" ref="G66:G72">F66/$F$74</f>
        <v>0.27938656648896265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1344</v>
      </c>
      <c r="G67" s="207">
        <f t="shared" si="0"/>
        <v>0.07870044126449652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688.8</v>
      </c>
      <c r="G68" s="207">
        <f t="shared" si="0"/>
        <v>0.040333976148054465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6584.7995124976</v>
      </c>
      <c r="G69" s="203">
        <f t="shared" si="0"/>
        <v>0.38558528814866266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6584.7995124976</v>
      </c>
      <c r="G70" s="207">
        <f>F70/$F$74</f>
        <v>0.38558528814866266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13388.7995124976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3688.6142656930892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17077.41377819069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112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2240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7.623845436692273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263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112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7.623845436692273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250</v>
      </c>
      <c r="B94" s="247" t="str">
        <f>B17</f>
        <v>Veículo no mínimo de 46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3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F85:H86"/>
    <mergeCell ref="A22:F22"/>
    <mergeCell ref="A23:F23"/>
    <mergeCell ref="A33:H33"/>
    <mergeCell ref="A50:G50"/>
    <mergeCell ref="A52:G52"/>
    <mergeCell ref="A63:G63"/>
    <mergeCell ref="A16:F16"/>
    <mergeCell ref="B17:G17"/>
    <mergeCell ref="A18:F18"/>
    <mergeCell ref="A19:F19"/>
    <mergeCell ref="A20:F20"/>
    <mergeCell ref="A21:F21"/>
    <mergeCell ref="B10:C10"/>
    <mergeCell ref="A11:F11"/>
    <mergeCell ref="B12:C12"/>
    <mergeCell ref="B13:C13"/>
    <mergeCell ref="A14:F14"/>
    <mergeCell ref="A15:F15"/>
    <mergeCell ref="A1:H1"/>
    <mergeCell ref="A2:H2"/>
    <mergeCell ref="A3:H3"/>
    <mergeCell ref="A4:H4"/>
    <mergeCell ref="B7:C7"/>
    <mergeCell ref="B8:C8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275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75</v>
      </c>
      <c r="C8" s="321"/>
      <c r="D8" s="104"/>
      <c r="E8" s="104"/>
      <c r="F8" s="104"/>
      <c r="G8" s="105">
        <f>SUM(B8:F8)</f>
        <v>75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54.6</v>
      </c>
      <c r="C10" s="323"/>
      <c r="D10" s="108"/>
      <c r="E10" s="108"/>
      <c r="F10" s="108"/>
      <c r="G10" s="109">
        <f>SUM(B10:F10)</f>
        <v>54.6</v>
      </c>
      <c r="H10" s="305">
        <f>G10/G13</f>
        <v>24.266666666666666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54.6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256</v>
      </c>
      <c r="C12" s="325"/>
      <c r="D12" s="102" t="s">
        <v>254</v>
      </c>
      <c r="E12" s="303" t="s">
        <v>251</v>
      </c>
      <c r="F12" s="303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35/60</f>
        <v>0.5833333333333334</v>
      </c>
      <c r="C13" s="325"/>
      <c r="D13" s="102">
        <f>60/60</f>
        <v>1</v>
      </c>
      <c r="E13" s="108">
        <f>40/60</f>
        <v>0.6666666666666666</v>
      </c>
      <c r="F13" s="110"/>
      <c r="G13" s="109">
        <f>SUM(B13:F13)</f>
        <v>2.25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5.75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266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124000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3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0.6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1092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2325.9599999999996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655.1999999999999</v>
      </c>
      <c r="C27" s="120"/>
      <c r="D27" s="267" t="s">
        <v>196</v>
      </c>
      <c r="E27" s="268" t="s">
        <v>2</v>
      </c>
      <c r="F27" s="269">
        <v>6</v>
      </c>
      <c r="G27" s="270">
        <v>2600</v>
      </c>
      <c r="H27" s="271">
        <f>F27*G27</f>
        <v>15600</v>
      </c>
      <c r="I27" s="103"/>
    </row>
    <row r="28" spans="1:9" ht="15.75">
      <c r="A28" s="112" t="str">
        <f>D25</f>
        <v>1.3 Pneus</v>
      </c>
      <c r="B28" s="287">
        <f>H31</f>
        <v>319.40999999999997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650</v>
      </c>
      <c r="H29" s="271">
        <f>F29*G29</f>
        <v>7800</v>
      </c>
      <c r="I29" s="103"/>
    </row>
    <row r="30" spans="1:9" ht="15.75">
      <c r="A30" s="102" t="s">
        <v>117</v>
      </c>
      <c r="B30" s="124">
        <f>SUM(B26:B29)</f>
        <v>3300.5699999999993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23400</v>
      </c>
      <c r="H30" s="276">
        <f>_xlfn.IFERROR(G30/F30,"-")</f>
        <v>0.2925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1092</v>
      </c>
      <c r="G31" s="276">
        <f>H30</f>
        <v>0.2925</v>
      </c>
      <c r="H31" s="286">
        <f>_xlfn.IFERROR(F31*G31,0)</f>
        <v>319.40999999999997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17050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3263.97</v>
      </c>
      <c r="E35" s="309">
        <f>'Encargos Sociais'!C38</f>
        <v>0.352117</v>
      </c>
      <c r="F35" s="132">
        <f>(D35*E35)+D35</f>
        <v>4413.26932449</v>
      </c>
      <c r="G35" s="136">
        <v>10</v>
      </c>
      <c r="H35" s="110">
        <f>F35*G35</f>
        <v>44132.6932449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5847.013333333332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49590.93324490001</v>
      </c>
      <c r="I40" s="97"/>
    </row>
    <row r="41" spans="1:9" ht="15.75" thickBot="1">
      <c r="A41" s="123" t="s">
        <v>132</v>
      </c>
      <c r="B41" s="133">
        <f>H40*B40</f>
        <v>49590.93324490001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75582.04657823333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4938.5996343732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0.6534090909090909</v>
      </c>
      <c r="C44" s="125"/>
      <c r="D44" s="146" t="s">
        <v>134</v>
      </c>
      <c r="E44" s="147" t="s">
        <v>2</v>
      </c>
      <c r="F44" s="148">
        <v>1</v>
      </c>
      <c r="G44" s="149">
        <f>G18</f>
        <v>124000</v>
      </c>
      <c r="H44" s="150">
        <f>F44*G44</f>
        <v>124000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124000</v>
      </c>
      <c r="H47" s="155">
        <f>F47*G47/100</f>
        <v>87705.2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87705.2</v>
      </c>
      <c r="H48" s="164">
        <f>_xlfn.IFERROR(G48/F48,0)*12</f>
        <v>5847.013333333332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8239.1696343732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8239.1696343732</v>
      </c>
      <c r="F54" s="150">
        <f>D54*E54/1</f>
        <v>2269.891234269817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2269.891234269817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2269.891234269817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10509.060868643017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9.623682114141957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3300.5699999999993</v>
      </c>
      <c r="G65" s="203">
        <f>F65/$F$74</f>
        <v>0.3140689773572684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2325.9599999999996</v>
      </c>
      <c r="G66" s="207">
        <f aca="true" t="shared" si="0" ref="G66:G72">F66/$F$74</f>
        <v>0.22132900637584177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655.1999999999999</v>
      </c>
      <c r="G67" s="207">
        <f t="shared" si="0"/>
        <v>0.06234619897911036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319.40999999999997</v>
      </c>
      <c r="G68" s="207">
        <f t="shared" si="0"/>
        <v>0.030393772002316303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4938.5996343732</v>
      </c>
      <c r="G69" s="203">
        <f t="shared" si="0"/>
        <v>0.4699372946929079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4938.5996343732</v>
      </c>
      <c r="G70" s="207">
        <f>F70/$F$74</f>
        <v>0.4699372946929079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8239.1696343732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2269.891234269817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10509.060868643017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54.6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1092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9.623682114141957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263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54.6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9.623682114141957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250</v>
      </c>
      <c r="B94" s="247" t="str">
        <f>B17</f>
        <v>Veículo no mínimo de 45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3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1:H1"/>
    <mergeCell ref="A2:H2"/>
    <mergeCell ref="A3:H3"/>
    <mergeCell ref="A4:H4"/>
    <mergeCell ref="B7:C7"/>
    <mergeCell ref="B8:C8"/>
    <mergeCell ref="B10:C10"/>
    <mergeCell ref="A11:F11"/>
    <mergeCell ref="B12:C12"/>
    <mergeCell ref="B13:C13"/>
    <mergeCell ref="A14:F14"/>
    <mergeCell ref="A15:F15"/>
    <mergeCell ref="A16:F16"/>
    <mergeCell ref="B17:G17"/>
    <mergeCell ref="A18:F18"/>
    <mergeCell ref="A19:F19"/>
    <mergeCell ref="A20:F20"/>
    <mergeCell ref="A21:F21"/>
    <mergeCell ref="F85:H86"/>
    <mergeCell ref="A22:F22"/>
    <mergeCell ref="A23:F23"/>
    <mergeCell ref="A33:H33"/>
    <mergeCell ref="A50:G50"/>
    <mergeCell ref="A52:G52"/>
    <mergeCell ref="A63:G63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1">
      <selection activeCell="C30" sqref="C30"/>
    </sheetView>
  </sheetViews>
  <sheetFormatPr defaultColWidth="9.140625" defaultRowHeight="12.75"/>
  <cols>
    <col min="1" max="1" width="13.57421875" style="1" customWidth="1"/>
    <col min="2" max="2" width="39.57421875" style="1" bestFit="1" customWidth="1"/>
    <col min="3" max="3" width="20.8515625" style="1" customWidth="1"/>
    <col min="4" max="4" width="37.28125" style="16" customWidth="1"/>
    <col min="5" max="10" width="9.140625" style="1" customWidth="1"/>
    <col min="11" max="11" width="11.00390625" style="1" bestFit="1" customWidth="1"/>
    <col min="12" max="16384" width="9.140625" style="1" customWidth="1"/>
  </cols>
  <sheetData>
    <row r="1" ht="12.75">
      <c r="A1" s="6" t="s">
        <v>84</v>
      </c>
    </row>
    <row r="2" ht="12.75">
      <c r="A2" s="91" t="s">
        <v>186</v>
      </c>
    </row>
    <row r="3" spans="2:7" s="2" customFormat="1" ht="15" customHeight="1">
      <c r="B3" s="9"/>
      <c r="C3" s="9"/>
      <c r="D3" s="9"/>
      <c r="E3" s="9"/>
      <c r="F3" s="9"/>
      <c r="G3" s="4"/>
    </row>
    <row r="4" spans="1:7" s="2" customFormat="1" ht="15" customHeight="1" hidden="1">
      <c r="A4" s="93" t="s">
        <v>97</v>
      </c>
      <c r="B4" s="9"/>
      <c r="C4" s="9"/>
      <c r="D4" s="9"/>
      <c r="E4" s="9"/>
      <c r="F4" s="9"/>
      <c r="G4" s="4"/>
    </row>
    <row r="5" spans="1:7" s="2" customFormat="1" ht="16.5" customHeight="1">
      <c r="A5" s="94" t="s">
        <v>100</v>
      </c>
      <c r="B5" s="3"/>
      <c r="C5" s="3"/>
      <c r="D5" s="4"/>
      <c r="E5" s="4"/>
      <c r="F5" s="4"/>
      <c r="G5" s="4"/>
    </row>
    <row r="6" spans="1:7" s="2" customFormat="1" ht="16.5" customHeight="1">
      <c r="A6" s="94" t="s">
        <v>101</v>
      </c>
      <c r="B6" s="3"/>
      <c r="C6" s="3"/>
      <c r="D6" s="4"/>
      <c r="E6" s="4"/>
      <c r="F6" s="4"/>
      <c r="G6" s="4"/>
    </row>
    <row r="7" ht="13.5" thickBot="1"/>
    <row r="8" spans="1:6" ht="18">
      <c r="A8" s="349" t="s">
        <v>90</v>
      </c>
      <c r="B8" s="350"/>
      <c r="C8" s="351"/>
      <c r="D8" s="15"/>
      <c r="E8" s="15"/>
      <c r="F8" s="15"/>
    </row>
    <row r="9" spans="1:4" ht="14.25">
      <c r="A9" s="21" t="s">
        <v>29</v>
      </c>
      <c r="B9" s="22" t="s">
        <v>30</v>
      </c>
      <c r="C9" s="23" t="s">
        <v>31</v>
      </c>
      <c r="D9" s="24"/>
    </row>
    <row r="10" spans="1:12" ht="14.25">
      <c r="A10" s="21" t="s">
        <v>32</v>
      </c>
      <c r="B10" s="22" t="s">
        <v>7</v>
      </c>
      <c r="C10" s="25"/>
      <c r="D10" s="24"/>
      <c r="F10" s="16"/>
      <c r="G10" s="16"/>
      <c r="H10" s="16"/>
      <c r="I10" s="16"/>
      <c r="J10" s="16"/>
      <c r="K10" s="16"/>
      <c r="L10" s="16"/>
    </row>
    <row r="11" spans="1:12" ht="14.25">
      <c r="A11" s="21" t="s">
        <v>33</v>
      </c>
      <c r="B11" s="22" t="s">
        <v>34</v>
      </c>
      <c r="C11" s="25"/>
      <c r="D11" s="24"/>
      <c r="F11" s="16"/>
      <c r="G11" s="16"/>
      <c r="H11" s="16"/>
      <c r="I11" s="16"/>
      <c r="J11" s="16"/>
      <c r="K11" s="16"/>
      <c r="L11" s="16"/>
    </row>
    <row r="12" spans="1:12" ht="14.25">
      <c r="A12" s="21" t="s">
        <v>35</v>
      </c>
      <c r="B12" s="22" t="s">
        <v>36</v>
      </c>
      <c r="C12" s="25"/>
      <c r="D12" s="24"/>
      <c r="F12" s="16"/>
      <c r="G12" s="16"/>
      <c r="H12" s="16"/>
      <c r="I12" s="16"/>
      <c r="J12" s="16"/>
      <c r="K12" s="16"/>
      <c r="L12" s="16"/>
    </row>
    <row r="13" spans="1:12" ht="14.25">
      <c r="A13" s="21" t="s">
        <v>37</v>
      </c>
      <c r="B13" s="22" t="s">
        <v>38</v>
      </c>
      <c r="C13" s="25"/>
      <c r="D13" s="24"/>
      <c r="F13" s="16"/>
      <c r="G13" s="16"/>
      <c r="H13" s="16"/>
      <c r="I13" s="16"/>
      <c r="J13" s="16"/>
      <c r="K13" s="16"/>
      <c r="L13" s="16"/>
    </row>
    <row r="14" spans="1:12" ht="14.25">
      <c r="A14" s="21" t="s">
        <v>39</v>
      </c>
      <c r="B14" s="22" t="s">
        <v>40</v>
      </c>
      <c r="C14" s="25"/>
      <c r="D14" s="24"/>
      <c r="F14" s="16"/>
      <c r="G14" s="16"/>
      <c r="H14" s="16"/>
      <c r="I14" s="16"/>
      <c r="J14" s="16"/>
      <c r="K14" s="16"/>
      <c r="L14" s="16"/>
    </row>
    <row r="15" spans="1:12" ht="14.25">
      <c r="A15" s="21" t="s">
        <v>41</v>
      </c>
      <c r="B15" s="22" t="s">
        <v>42</v>
      </c>
      <c r="C15" s="25"/>
      <c r="D15" s="24"/>
      <c r="F15" s="16"/>
      <c r="G15" s="16"/>
      <c r="H15" s="16"/>
      <c r="I15" s="16"/>
      <c r="J15" s="16"/>
      <c r="K15" s="16"/>
      <c r="L15" s="16"/>
    </row>
    <row r="16" spans="1:12" ht="14.25">
      <c r="A16" s="21" t="s">
        <v>43</v>
      </c>
      <c r="B16" s="22" t="s">
        <v>44</v>
      </c>
      <c r="C16" s="25"/>
      <c r="D16" s="24"/>
      <c r="F16" s="16"/>
      <c r="G16" s="16"/>
      <c r="H16" s="16"/>
      <c r="I16" s="16"/>
      <c r="J16" s="16"/>
      <c r="K16" s="16"/>
      <c r="L16" s="16"/>
    </row>
    <row r="17" spans="1:12" ht="14.25">
      <c r="A17" s="21" t="s">
        <v>45</v>
      </c>
      <c r="B17" s="22" t="s">
        <v>8</v>
      </c>
      <c r="C17" s="25">
        <v>0.08</v>
      </c>
      <c r="D17" s="26"/>
      <c r="F17" s="16"/>
      <c r="G17" s="16"/>
      <c r="H17" s="16"/>
      <c r="I17" s="16"/>
      <c r="J17" s="16"/>
      <c r="K17" s="16"/>
      <c r="L17" s="16"/>
    </row>
    <row r="18" spans="1:12" ht="15">
      <c r="A18" s="21" t="s">
        <v>46</v>
      </c>
      <c r="B18" s="27" t="s">
        <v>47</v>
      </c>
      <c r="C18" s="28">
        <f>SUM(C10:C17)</f>
        <v>0.08</v>
      </c>
      <c r="D18" s="26"/>
      <c r="F18" s="16"/>
      <c r="G18" s="16"/>
      <c r="H18" s="16"/>
      <c r="I18" s="16"/>
      <c r="J18" s="16"/>
      <c r="K18" s="16"/>
      <c r="L18" s="16"/>
    </row>
    <row r="19" spans="1:12" ht="15">
      <c r="A19" s="29"/>
      <c r="B19" s="30"/>
      <c r="C19" s="31"/>
      <c r="D19" s="26"/>
      <c r="F19" s="16"/>
      <c r="G19" s="16"/>
      <c r="H19" s="16"/>
      <c r="I19" s="16"/>
      <c r="J19" s="16"/>
      <c r="K19" s="16"/>
      <c r="L19" s="16"/>
    </row>
    <row r="20" spans="1:12" ht="14.25">
      <c r="A20" s="21" t="s">
        <v>48</v>
      </c>
      <c r="B20" s="32" t="s">
        <v>49</v>
      </c>
      <c r="C20" s="25">
        <v>0.0833</v>
      </c>
      <c r="D20" s="26"/>
      <c r="F20" s="16"/>
      <c r="G20" s="16"/>
      <c r="H20" s="16"/>
      <c r="I20" s="16"/>
      <c r="J20" s="16"/>
      <c r="K20" s="16"/>
      <c r="L20" s="16"/>
    </row>
    <row r="21" spans="1:12" ht="14.25">
      <c r="A21" s="21" t="s">
        <v>50</v>
      </c>
      <c r="B21" s="32" t="s">
        <v>51</v>
      </c>
      <c r="C21" s="25">
        <v>0.0833</v>
      </c>
      <c r="D21" s="26"/>
      <c r="F21" s="16"/>
      <c r="G21" s="16"/>
      <c r="H21" s="16"/>
      <c r="I21" s="16"/>
      <c r="J21" s="16"/>
      <c r="K21" s="16"/>
      <c r="L21" s="16"/>
    </row>
    <row r="22" spans="1:12" ht="14.25">
      <c r="A22" s="21" t="s">
        <v>89</v>
      </c>
      <c r="B22" s="32" t="s">
        <v>53</v>
      </c>
      <c r="C22" s="25">
        <v>0.0006</v>
      </c>
      <c r="D22" s="26"/>
      <c r="F22" s="16"/>
      <c r="G22" s="16"/>
      <c r="H22" s="16"/>
      <c r="I22" s="16"/>
      <c r="J22" s="16"/>
      <c r="K22" s="16"/>
      <c r="L22" s="16"/>
    </row>
    <row r="23" spans="1:12" ht="14.25">
      <c r="A23" s="21" t="s">
        <v>52</v>
      </c>
      <c r="B23" s="32" t="s">
        <v>55</v>
      </c>
      <c r="C23" s="25">
        <v>0.0082</v>
      </c>
      <c r="D23" s="26"/>
      <c r="F23" s="16"/>
      <c r="G23" s="16"/>
      <c r="H23" s="16"/>
      <c r="I23" s="16"/>
      <c r="J23" s="16"/>
      <c r="K23" s="16"/>
      <c r="L23" s="16"/>
    </row>
    <row r="24" spans="1:12" ht="14.25">
      <c r="A24" s="21" t="s">
        <v>54</v>
      </c>
      <c r="B24" s="32" t="s">
        <v>57</v>
      </c>
      <c r="C24" s="25">
        <v>0.0031</v>
      </c>
      <c r="D24" s="26"/>
      <c r="F24" s="16"/>
      <c r="G24" s="16"/>
      <c r="H24" s="16"/>
      <c r="I24" s="16"/>
      <c r="J24" s="16"/>
      <c r="K24" s="16"/>
      <c r="L24" s="16"/>
    </row>
    <row r="25" spans="1:12" ht="14.25">
      <c r="A25" s="21" t="s">
        <v>56</v>
      </c>
      <c r="B25" s="32" t="s">
        <v>58</v>
      </c>
      <c r="C25" s="25">
        <v>0.0166</v>
      </c>
      <c r="D25" s="26"/>
      <c r="F25" s="16"/>
      <c r="G25" s="16"/>
      <c r="H25" s="16"/>
      <c r="I25" s="16"/>
      <c r="J25" s="16"/>
      <c r="K25" s="16"/>
      <c r="L25" s="16"/>
    </row>
    <row r="26" spans="1:12" ht="15">
      <c r="A26" s="21" t="s">
        <v>59</v>
      </c>
      <c r="B26" s="27" t="s">
        <v>60</v>
      </c>
      <c r="C26" s="28">
        <f>SUM(C20:C25)</f>
        <v>0.1951</v>
      </c>
      <c r="D26" s="33"/>
      <c r="F26" s="16"/>
      <c r="G26" s="16"/>
      <c r="H26" s="16"/>
      <c r="I26" s="16"/>
      <c r="J26" s="16"/>
      <c r="K26" s="16"/>
      <c r="L26" s="16"/>
    </row>
    <row r="27" spans="1:12" ht="15">
      <c r="A27" s="29"/>
      <c r="B27" s="30"/>
      <c r="C27" s="31"/>
      <c r="D27" s="33"/>
      <c r="F27" s="16"/>
      <c r="G27" s="16"/>
      <c r="H27" s="16"/>
      <c r="I27" s="16"/>
      <c r="J27" s="16"/>
      <c r="K27" s="16"/>
      <c r="L27" s="16"/>
    </row>
    <row r="28" spans="1:12" ht="14.25">
      <c r="A28" s="21" t="s">
        <v>61</v>
      </c>
      <c r="B28" s="22" t="s">
        <v>62</v>
      </c>
      <c r="C28" s="25">
        <v>0.015</v>
      </c>
      <c r="D28" s="26"/>
      <c r="E28" s="34"/>
      <c r="F28" s="16"/>
      <c r="G28" s="16"/>
      <c r="H28" s="16"/>
      <c r="I28" s="16"/>
      <c r="J28" s="16"/>
      <c r="K28" s="16"/>
      <c r="L28" s="16"/>
    </row>
    <row r="29" spans="1:12" ht="14.25">
      <c r="A29" s="21" t="s">
        <v>88</v>
      </c>
      <c r="B29" s="22" t="s">
        <v>64</v>
      </c>
      <c r="C29" s="25">
        <v>0.0278</v>
      </c>
      <c r="D29" s="26"/>
      <c r="F29" s="16"/>
      <c r="G29" s="16"/>
      <c r="H29" s="35"/>
      <c r="I29" s="16"/>
      <c r="J29" s="16"/>
      <c r="K29" s="16"/>
      <c r="L29" s="16"/>
    </row>
    <row r="30" spans="1:12" ht="14.25">
      <c r="A30" s="21" t="s">
        <v>63</v>
      </c>
      <c r="B30" s="22" t="s">
        <v>66</v>
      </c>
      <c r="C30" s="25">
        <f>C28*C29</f>
        <v>0.00041699999999999994</v>
      </c>
      <c r="D30" s="26"/>
      <c r="E30" s="34"/>
      <c r="F30" s="16"/>
      <c r="G30" s="16"/>
      <c r="H30" s="16"/>
      <c r="I30" s="16"/>
      <c r="J30" s="16"/>
      <c r="K30" s="16"/>
      <c r="L30" s="16"/>
    </row>
    <row r="31" spans="1:12" ht="14.25">
      <c r="A31" s="21" t="s">
        <v>65</v>
      </c>
      <c r="B31" s="22" t="s">
        <v>68</v>
      </c>
      <c r="C31" s="25">
        <v>0.015</v>
      </c>
      <c r="D31" s="26"/>
      <c r="F31" s="16"/>
      <c r="G31" s="36"/>
      <c r="H31" s="16"/>
      <c r="I31" s="16"/>
      <c r="J31" s="16"/>
      <c r="K31" s="16"/>
      <c r="L31" s="16"/>
    </row>
    <row r="32" spans="1:12" ht="14.25">
      <c r="A32" s="21" t="s">
        <v>67</v>
      </c>
      <c r="B32" s="22" t="s">
        <v>69</v>
      </c>
      <c r="C32" s="25">
        <v>0.002</v>
      </c>
      <c r="D32" s="26"/>
      <c r="F32" s="16"/>
      <c r="G32" s="16"/>
      <c r="H32" s="16"/>
      <c r="I32" s="16"/>
      <c r="J32" s="16"/>
      <c r="K32" s="16"/>
      <c r="L32" s="16"/>
    </row>
    <row r="33" spans="1:12" ht="15">
      <c r="A33" s="21" t="s">
        <v>70</v>
      </c>
      <c r="B33" s="27" t="s">
        <v>71</v>
      </c>
      <c r="C33" s="28">
        <f>SUM(C28:C32)</f>
        <v>0.060217</v>
      </c>
      <c r="D33" s="33"/>
      <c r="F33" s="16"/>
      <c r="G33" s="16"/>
      <c r="H33" s="16"/>
      <c r="I33" s="16"/>
      <c r="J33" s="16"/>
      <c r="K33" s="16"/>
      <c r="L33" s="16"/>
    </row>
    <row r="34" spans="1:12" ht="15">
      <c r="A34" s="29"/>
      <c r="B34" s="30"/>
      <c r="C34" s="31"/>
      <c r="D34" s="33"/>
      <c r="F34" s="16"/>
      <c r="G34" s="16"/>
      <c r="H34" s="16"/>
      <c r="I34" s="16"/>
      <c r="J34" s="16"/>
      <c r="K34" s="16"/>
      <c r="L34" s="16"/>
    </row>
    <row r="35" spans="1:12" ht="14.25">
      <c r="A35" s="21" t="s">
        <v>72</v>
      </c>
      <c r="B35" s="22" t="s">
        <v>73</v>
      </c>
      <c r="C35" s="25">
        <f>ROUND(C18*C26,4)</f>
        <v>0.0156</v>
      </c>
      <c r="D35" s="26"/>
      <c r="F35" s="16"/>
      <c r="G35" s="16"/>
      <c r="H35" s="16"/>
      <c r="I35" s="16"/>
      <c r="J35" s="16"/>
      <c r="K35" s="16"/>
      <c r="L35" s="16"/>
    </row>
    <row r="36" spans="1:12" ht="28.5">
      <c r="A36" s="21" t="s">
        <v>74</v>
      </c>
      <c r="B36" s="37" t="s">
        <v>96</v>
      </c>
      <c r="C36" s="25">
        <f>ROUND((C28*C17),4)</f>
        <v>0.0012</v>
      </c>
      <c r="D36" s="26"/>
      <c r="F36" s="16"/>
      <c r="G36" s="16"/>
      <c r="H36" s="16"/>
      <c r="I36" s="16"/>
      <c r="J36" s="16"/>
      <c r="K36" s="16"/>
      <c r="L36" s="16"/>
    </row>
    <row r="37" spans="1:12" ht="15">
      <c r="A37" s="21" t="s">
        <v>75</v>
      </c>
      <c r="B37" s="27" t="s">
        <v>76</v>
      </c>
      <c r="C37" s="28">
        <f>SUM(C35:C36)</f>
        <v>0.0168</v>
      </c>
      <c r="D37" s="38"/>
      <c r="F37" s="16"/>
      <c r="G37" s="16"/>
      <c r="H37" s="16"/>
      <c r="I37" s="16"/>
      <c r="J37" s="16"/>
      <c r="K37" s="16"/>
      <c r="L37" s="16"/>
    </row>
    <row r="38" spans="1:12" ht="15.75" thickBot="1">
      <c r="A38" s="39"/>
      <c r="B38" s="40" t="s">
        <v>77</v>
      </c>
      <c r="C38" s="41">
        <f>C37+C33+C26+C18</f>
        <v>0.352117</v>
      </c>
      <c r="D38" s="38"/>
      <c r="F38" s="16"/>
      <c r="G38" s="16"/>
      <c r="H38" s="16"/>
      <c r="I38" s="16"/>
      <c r="J38" s="16"/>
      <c r="K38" s="16"/>
      <c r="L38" s="16"/>
    </row>
    <row r="39" spans="1:12" ht="15">
      <c r="A39" s="26"/>
      <c r="B39" s="42"/>
      <c r="C39" s="43"/>
      <c r="D39" s="44"/>
      <c r="F39" s="16"/>
      <c r="G39" s="16"/>
      <c r="H39" s="16"/>
      <c r="I39" s="16"/>
      <c r="J39" s="16"/>
      <c r="K39" s="16"/>
      <c r="L39" s="16"/>
    </row>
    <row r="40" spans="1:12" ht="14.25">
      <c r="A40" s="26"/>
      <c r="B40" s="26"/>
      <c r="C40" s="45"/>
      <c r="D40" s="46"/>
      <c r="F40" s="16"/>
      <c r="G40" s="16"/>
      <c r="H40" s="16"/>
      <c r="I40" s="16"/>
      <c r="J40" s="16"/>
      <c r="K40" s="16"/>
      <c r="L40" s="16"/>
    </row>
    <row r="41" spans="1:12" ht="14.25">
      <c r="A41" s="24"/>
      <c r="B41" s="24"/>
      <c r="C41" s="47"/>
      <c r="D41" s="24"/>
      <c r="F41" s="16"/>
      <c r="G41" s="16"/>
      <c r="H41" s="16"/>
      <c r="I41" s="16"/>
      <c r="J41" s="16"/>
      <c r="K41" s="16"/>
      <c r="L41" s="16"/>
    </row>
    <row r="42" spans="1:12" ht="14.25">
      <c r="A42" s="24"/>
      <c r="B42" s="24"/>
      <c r="C42" s="47"/>
      <c r="D42" s="24"/>
      <c r="F42" s="16"/>
      <c r="G42" s="16"/>
      <c r="H42" s="16"/>
      <c r="I42" s="16"/>
      <c r="J42" s="16"/>
      <c r="K42" s="16"/>
      <c r="L42" s="16"/>
    </row>
    <row r="43" spans="1:12" ht="14.25">
      <c r="A43" s="24"/>
      <c r="B43" s="24"/>
      <c r="C43" s="47"/>
      <c r="D43" s="24"/>
      <c r="F43" s="16"/>
      <c r="G43" s="16"/>
      <c r="H43" s="16"/>
      <c r="I43" s="16"/>
      <c r="J43" s="16"/>
      <c r="K43" s="16"/>
      <c r="L43" s="16"/>
    </row>
    <row r="44" spans="1:12" ht="15">
      <c r="A44" s="24"/>
      <c r="B44" s="48"/>
      <c r="C44" s="49"/>
      <c r="D44" s="24"/>
      <c r="F44" s="16"/>
      <c r="G44" s="16"/>
      <c r="H44" s="16"/>
      <c r="I44" s="16"/>
      <c r="J44" s="16"/>
      <c r="K44" s="16"/>
      <c r="L44" s="16"/>
    </row>
    <row r="45" spans="1:12" ht="15">
      <c r="A45" s="38"/>
      <c r="B45" s="48"/>
      <c r="C45" s="49"/>
      <c r="D45" s="38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50"/>
      <c r="B46" s="16"/>
      <c r="C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51"/>
      <c r="B47" s="52"/>
      <c r="C47" s="52"/>
      <c r="E47" s="16"/>
      <c r="F47" s="16"/>
      <c r="G47" s="16"/>
      <c r="H47" s="16"/>
      <c r="I47" s="16"/>
      <c r="J47" s="16"/>
      <c r="K47" s="16"/>
      <c r="L47" s="16"/>
    </row>
    <row r="48" spans="1:12" ht="14.25">
      <c r="A48" s="24"/>
      <c r="B48" s="53"/>
      <c r="C48" s="52"/>
      <c r="E48" s="16"/>
      <c r="F48" s="16"/>
      <c r="G48" s="16"/>
      <c r="H48" s="16"/>
      <c r="I48" s="16"/>
      <c r="J48" s="16"/>
      <c r="K48" s="16"/>
      <c r="L48" s="16"/>
    </row>
    <row r="49" spans="1:12" ht="14.25">
      <c r="A49" s="24"/>
      <c r="B49" s="53"/>
      <c r="C49" s="24"/>
      <c r="E49" s="16"/>
      <c r="F49" s="16"/>
      <c r="G49" s="16"/>
      <c r="H49" s="16"/>
      <c r="I49" s="16"/>
      <c r="J49" s="16"/>
      <c r="K49" s="16"/>
      <c r="L49" s="16"/>
    </row>
    <row r="50" spans="1:12" ht="14.25">
      <c r="A50" s="24"/>
      <c r="B50" s="47"/>
      <c r="C50" s="52"/>
      <c r="E50" s="16"/>
      <c r="F50" s="16"/>
      <c r="G50" s="16"/>
      <c r="H50" s="16"/>
      <c r="I50" s="16"/>
      <c r="J50" s="16"/>
      <c r="K50" s="16"/>
      <c r="L50" s="16"/>
    </row>
    <row r="51" spans="1:12" ht="14.25">
      <c r="A51" s="24"/>
      <c r="B51" s="53"/>
      <c r="C51" s="24"/>
      <c r="E51" s="16"/>
      <c r="F51" s="16"/>
      <c r="G51" s="16"/>
      <c r="H51" s="16"/>
      <c r="I51" s="16"/>
      <c r="J51" s="16"/>
      <c r="K51" s="16"/>
      <c r="L51" s="16"/>
    </row>
    <row r="52" spans="1:12" ht="14.25">
      <c r="A52" s="24"/>
      <c r="B52" s="47"/>
      <c r="C52" s="52"/>
      <c r="E52" s="16"/>
      <c r="F52" s="16"/>
      <c r="G52" s="16"/>
      <c r="H52" s="16"/>
      <c r="I52" s="16"/>
      <c r="J52" s="16"/>
      <c r="K52" s="16"/>
      <c r="L52" s="16"/>
    </row>
    <row r="53" spans="1:12" ht="14.25">
      <c r="A53" s="24"/>
      <c r="B53" s="53"/>
      <c r="C53" s="24"/>
      <c r="E53" s="16"/>
      <c r="F53" s="16"/>
      <c r="G53" s="16"/>
      <c r="H53" s="16"/>
      <c r="I53" s="16"/>
      <c r="J53" s="16"/>
      <c r="K53" s="16"/>
      <c r="L53" s="16"/>
    </row>
    <row r="54" spans="1:12" ht="14.25">
      <c r="A54" s="24"/>
      <c r="B54" s="47"/>
      <c r="C54" s="52"/>
      <c r="E54" s="16"/>
      <c r="F54" s="16"/>
      <c r="G54" s="16"/>
      <c r="H54" s="16"/>
      <c r="I54" s="16"/>
      <c r="J54" s="16"/>
      <c r="K54" s="16"/>
      <c r="L54" s="16"/>
    </row>
    <row r="55" spans="1:12" ht="14.25">
      <c r="A55" s="24"/>
      <c r="B55" s="53"/>
      <c r="C55" s="24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24"/>
      <c r="B56" s="47"/>
      <c r="C56" s="52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50"/>
      <c r="B57" s="16"/>
      <c r="C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54"/>
      <c r="B60" s="16"/>
      <c r="C60" s="16"/>
      <c r="E60" s="16"/>
      <c r="F60" s="16"/>
      <c r="G60" s="16"/>
      <c r="H60" s="16"/>
      <c r="I60" s="16"/>
      <c r="J60" s="16"/>
      <c r="K60" s="16"/>
      <c r="L60" s="16"/>
    </row>
    <row r="61" spans="1:5" ht="12.75">
      <c r="A61" s="16"/>
      <c r="B61" s="16"/>
      <c r="C61" s="16"/>
      <c r="E61" s="16"/>
    </row>
    <row r="62" spans="1:5" ht="12.75">
      <c r="A62" s="16"/>
      <c r="B62" s="16"/>
      <c r="C62" s="16"/>
      <c r="E62" s="16"/>
    </row>
    <row r="63" spans="1:5" ht="12.75">
      <c r="A63" s="16"/>
      <c r="B63" s="16"/>
      <c r="C63" s="16"/>
      <c r="E63" s="16"/>
    </row>
    <row r="64" spans="1:5" ht="12.75">
      <c r="A64" s="16"/>
      <c r="B64" s="16"/>
      <c r="C64" s="16"/>
      <c r="E64" s="16"/>
    </row>
    <row r="65" spans="1:5" ht="12.75">
      <c r="A65" s="16"/>
      <c r="B65" s="16"/>
      <c r="C65" s="16"/>
      <c r="E65" s="16"/>
    </row>
    <row r="66" spans="1:5" ht="12.75">
      <c r="A66" s="16"/>
      <c r="B66" s="16"/>
      <c r="C66" s="16"/>
      <c r="E66" s="16"/>
    </row>
    <row r="67" spans="1:5" ht="12.75">
      <c r="A67" s="16"/>
      <c r="B67" s="16"/>
      <c r="C67" s="16"/>
      <c r="E67" s="16"/>
    </row>
    <row r="68" spans="1:5" ht="12.75">
      <c r="A68" s="16"/>
      <c r="B68" s="16"/>
      <c r="C68" s="16"/>
      <c r="E68" s="16"/>
    </row>
    <row r="69" spans="1:5" ht="12.75">
      <c r="A69" s="16"/>
      <c r="B69" s="16"/>
      <c r="C69" s="16"/>
      <c r="E69" s="16"/>
    </row>
  </sheetData>
  <sheetProtection/>
  <mergeCells count="1">
    <mergeCell ref="A8:C8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6.7109375" style="0" customWidth="1"/>
    <col min="2" max="2" width="12.7109375" style="0" customWidth="1"/>
    <col min="3" max="3" width="27.8515625" style="0" customWidth="1"/>
    <col min="4" max="4" width="9.7109375" style="0" hidden="1" customWidth="1"/>
    <col min="5" max="5" width="8.00390625" style="8" hidden="1" customWidth="1"/>
    <col min="6" max="6" width="9.7109375" style="0" hidden="1" customWidth="1"/>
  </cols>
  <sheetData>
    <row r="1" spans="1:5" s="13" customFormat="1" ht="14.25">
      <c r="A1" s="6" t="s">
        <v>84</v>
      </c>
      <c r="B1" s="11"/>
      <c r="C1" s="11"/>
      <c r="E1" s="14"/>
    </row>
    <row r="2" spans="1:5" s="13" customFormat="1" ht="14.25">
      <c r="A2" s="10" t="s">
        <v>93</v>
      </c>
      <c r="B2" s="11"/>
      <c r="C2" s="11"/>
      <c r="E2" s="14"/>
    </row>
    <row r="3" spans="1:5" s="13" customFormat="1" ht="14.25">
      <c r="A3" s="5" t="s">
        <v>85</v>
      </c>
      <c r="B3" s="11"/>
      <c r="C3" s="11"/>
      <c r="E3" s="14"/>
    </row>
    <row r="4" spans="1:5" s="13" customFormat="1" ht="14.25">
      <c r="A4" s="5"/>
      <c r="B4" s="11"/>
      <c r="C4" s="11"/>
      <c r="E4" s="14"/>
    </row>
    <row r="5" spans="1:7" s="2" customFormat="1" ht="15" customHeight="1" hidden="1">
      <c r="A5" s="93" t="s">
        <v>97</v>
      </c>
      <c r="B5" s="9"/>
      <c r="C5" s="9"/>
      <c r="D5" s="9"/>
      <c r="E5" s="9"/>
      <c r="F5" s="9"/>
      <c r="G5" s="4"/>
    </row>
    <row r="6" spans="1:7" s="2" customFormat="1" ht="16.5" customHeight="1">
      <c r="A6" s="94" t="s">
        <v>98</v>
      </c>
      <c r="B6" s="3"/>
      <c r="C6" s="3"/>
      <c r="D6" s="4"/>
      <c r="E6" s="4"/>
      <c r="F6" s="4"/>
      <c r="G6" s="4"/>
    </row>
    <row r="7" spans="1:7" s="2" customFormat="1" ht="16.5" customHeight="1">
      <c r="A7" s="94" t="s">
        <v>99</v>
      </c>
      <c r="B7" s="3"/>
      <c r="C7" s="3"/>
      <c r="D7" s="4"/>
      <c r="E7" s="4"/>
      <c r="F7" s="4"/>
      <c r="G7" s="4"/>
    </row>
    <row r="8" spans="2:5" s="13" customFormat="1" ht="15" thickBot="1">
      <c r="B8" s="11"/>
      <c r="C8" s="11"/>
      <c r="E8" s="14"/>
    </row>
    <row r="9" spans="1:6" ht="15.75">
      <c r="A9" s="357" t="s">
        <v>221</v>
      </c>
      <c r="B9" s="358"/>
      <c r="C9" s="358"/>
      <c r="D9" s="358"/>
      <c r="E9" s="358"/>
      <c r="F9" s="359"/>
    </row>
    <row r="10" spans="1:6" ht="15.75" hidden="1">
      <c r="A10" s="86"/>
      <c r="B10" s="87"/>
      <c r="C10" s="87"/>
      <c r="D10" s="87"/>
      <c r="E10" s="87"/>
      <c r="F10" s="88"/>
    </row>
    <row r="11" spans="1:8" ht="15" hidden="1">
      <c r="A11" s="56"/>
      <c r="B11" s="12"/>
      <c r="C11" s="12"/>
      <c r="D11" s="354" t="s">
        <v>92</v>
      </c>
      <c r="E11" s="355"/>
      <c r="F11" s="356"/>
      <c r="G11" s="13"/>
      <c r="H11" s="13"/>
    </row>
    <row r="12" spans="1:8" ht="14.25">
      <c r="A12" s="296"/>
      <c r="B12" s="295"/>
      <c r="C12" s="295"/>
      <c r="D12" s="57" t="s">
        <v>78</v>
      </c>
      <c r="E12" s="58" t="s">
        <v>79</v>
      </c>
      <c r="F12" s="59" t="s">
        <v>80</v>
      </c>
      <c r="G12" s="13"/>
      <c r="H12" s="13"/>
    </row>
    <row r="13" spans="1:8" ht="14.25">
      <c r="A13" s="289" t="s">
        <v>13</v>
      </c>
      <c r="B13" s="290" t="s">
        <v>14</v>
      </c>
      <c r="C13" s="291">
        <v>0.06</v>
      </c>
      <c r="D13" s="292">
        <v>0.0297</v>
      </c>
      <c r="E13" s="293">
        <v>0.0508</v>
      </c>
      <c r="F13" s="294">
        <v>0.0627</v>
      </c>
      <c r="G13" s="13"/>
      <c r="H13" s="13"/>
    </row>
    <row r="14" spans="1:8" ht="14.25">
      <c r="A14" s="61" t="s">
        <v>15</v>
      </c>
      <c r="B14" s="62" t="s">
        <v>16</v>
      </c>
      <c r="C14" s="63">
        <v>0.0086</v>
      </c>
      <c r="D14" s="80">
        <f>0.3%+0.56%</f>
        <v>0.0086</v>
      </c>
      <c r="E14" s="81">
        <f>0.48%+0.85%</f>
        <v>0.0133</v>
      </c>
      <c r="F14" s="82">
        <f>0.82%+0.89%</f>
        <v>0.017099999999999997</v>
      </c>
      <c r="G14" s="13"/>
      <c r="H14" s="13"/>
    </row>
    <row r="15" spans="1:8" ht="14.25">
      <c r="A15" s="61" t="s">
        <v>17</v>
      </c>
      <c r="B15" s="62" t="s">
        <v>18</v>
      </c>
      <c r="C15" s="63">
        <v>0.12</v>
      </c>
      <c r="D15" s="80">
        <v>0.0778</v>
      </c>
      <c r="E15" s="81">
        <v>0.1085</v>
      </c>
      <c r="F15" s="82">
        <v>0.1355</v>
      </c>
      <c r="G15" s="13"/>
      <c r="H15" s="13"/>
    </row>
    <row r="16" spans="1:8" ht="14.25">
      <c r="A16" s="61" t="s">
        <v>19</v>
      </c>
      <c r="B16" s="62" t="s">
        <v>20</v>
      </c>
      <c r="C16" s="64">
        <f>(1+E16)^(E17/252)-1</f>
        <v>0.0017568718112874748</v>
      </c>
      <c r="D16" s="80" t="s">
        <v>94</v>
      </c>
      <c r="E16" s="65">
        <v>0.0925</v>
      </c>
      <c r="F16" s="60"/>
      <c r="G16" s="13"/>
      <c r="H16" s="13"/>
    </row>
    <row r="17" spans="1:8" ht="14.25">
      <c r="A17" s="61" t="s">
        <v>21</v>
      </c>
      <c r="B17" s="352" t="s">
        <v>22</v>
      </c>
      <c r="C17" s="63">
        <v>0.02</v>
      </c>
      <c r="D17" s="92" t="s">
        <v>81</v>
      </c>
      <c r="E17" s="66">
        <v>5</v>
      </c>
      <c r="F17" s="67"/>
      <c r="G17" s="13"/>
      <c r="H17" s="13"/>
    </row>
    <row r="18" spans="1:8" ht="15" thickBot="1">
      <c r="A18" s="68" t="s">
        <v>102</v>
      </c>
      <c r="B18" s="353"/>
      <c r="C18" s="69">
        <v>0.04</v>
      </c>
      <c r="D18" s="55"/>
      <c r="E18" s="70"/>
      <c r="F18" s="67"/>
      <c r="G18" s="13"/>
      <c r="H18" s="13"/>
    </row>
    <row r="19" spans="1:8" ht="14.25">
      <c r="A19" s="71" t="s">
        <v>23</v>
      </c>
      <c r="B19" s="72"/>
      <c r="C19" s="73"/>
      <c r="D19" s="55"/>
      <c r="E19" s="70"/>
      <c r="F19" s="67"/>
      <c r="G19" s="13"/>
      <c r="H19" s="13"/>
    </row>
    <row r="20" spans="1:8" ht="15" thickBot="1">
      <c r="A20" s="74" t="s">
        <v>24</v>
      </c>
      <c r="B20" s="75"/>
      <c r="C20" s="76"/>
      <c r="D20" s="55"/>
      <c r="E20" s="70"/>
      <c r="F20" s="67"/>
      <c r="G20" s="13"/>
      <c r="H20" s="13"/>
    </row>
    <row r="21" spans="1:8" ht="15.75" thickBot="1">
      <c r="A21" s="77" t="s">
        <v>25</v>
      </c>
      <c r="B21" s="78"/>
      <c r="C21" s="79">
        <f>ROUND((((1+C13+C14)*(1+C15)*(1+C16))/(1-(C17+C18))-1),4)</f>
        <v>0.2755</v>
      </c>
      <c r="D21" s="83">
        <v>0.2143</v>
      </c>
      <c r="E21" s="84">
        <v>0.2717</v>
      </c>
      <c r="F21" s="85">
        <v>0.3362</v>
      </c>
      <c r="G21" s="13"/>
      <c r="H21" s="13"/>
    </row>
    <row r="22" spans="1:8" ht="14.25">
      <c r="A22" s="13"/>
      <c r="B22" s="13"/>
      <c r="C22" s="13"/>
      <c r="D22" s="13"/>
      <c r="E22" s="14"/>
      <c r="F22" s="13"/>
      <c r="G22" s="13"/>
      <c r="H22" s="13"/>
    </row>
    <row r="23" spans="1:8" ht="14.25">
      <c r="A23" s="256" t="s">
        <v>183</v>
      </c>
      <c r="B23" s="13"/>
      <c r="C23" s="13"/>
      <c r="D23" s="13"/>
      <c r="E23" s="14"/>
      <c r="F23" s="13"/>
      <c r="G23" s="13"/>
      <c r="H23" s="13"/>
    </row>
    <row r="24" spans="1:8" ht="14.25">
      <c r="A24" s="257" t="s">
        <v>184</v>
      </c>
      <c r="B24" s="13"/>
      <c r="C24" s="13"/>
      <c r="D24" s="13"/>
      <c r="E24" s="14"/>
      <c r="F24" s="13"/>
      <c r="G24" s="13"/>
      <c r="H24" s="13"/>
    </row>
    <row r="25" spans="1:8" ht="14.25">
      <c r="A25" s="13"/>
      <c r="B25" s="13"/>
      <c r="C25" s="13"/>
      <c r="D25" s="13"/>
      <c r="E25" s="14"/>
      <c r="F25" s="13"/>
      <c r="G25" s="13"/>
      <c r="H25" s="13"/>
    </row>
  </sheetData>
  <sheetProtection/>
  <mergeCells count="3">
    <mergeCell ref="B17:B18"/>
    <mergeCell ref="D11:F11"/>
    <mergeCell ref="A9:F9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32" sqref="E32"/>
    </sheetView>
  </sheetViews>
  <sheetFormatPr defaultColWidth="9.140625" defaultRowHeight="19.5" customHeight="1"/>
  <cols>
    <col min="1" max="1" width="24.57421875" style="1" customWidth="1"/>
    <col min="2" max="2" width="20.8515625" style="1" customWidth="1"/>
    <col min="3" max="16384" width="9.140625" style="1" customWidth="1"/>
  </cols>
  <sheetData>
    <row r="1" spans="1:2" ht="19.5" customHeight="1" thickBot="1">
      <c r="A1" s="360" t="s">
        <v>222</v>
      </c>
      <c r="B1" s="361"/>
    </row>
    <row r="2" spans="1:2" s="7" customFormat="1" ht="19.5" customHeight="1">
      <c r="A2" s="89" t="s">
        <v>86</v>
      </c>
      <c r="B2" s="90" t="s">
        <v>95</v>
      </c>
    </row>
    <row r="3" spans="1:2" ht="19.5" customHeight="1">
      <c r="A3" s="18">
        <v>1</v>
      </c>
      <c r="B3" s="17">
        <v>33.629999999999995</v>
      </c>
    </row>
    <row r="4" spans="1:2" ht="19.5" customHeight="1">
      <c r="A4" s="18">
        <v>2</v>
      </c>
      <c r="B4" s="17">
        <v>43.13</v>
      </c>
    </row>
    <row r="5" spans="1:2" ht="19.5" customHeight="1">
      <c r="A5" s="18">
        <v>3</v>
      </c>
      <c r="B5" s="17">
        <v>48.68</v>
      </c>
    </row>
    <row r="6" spans="1:2" ht="19.5" customHeight="1">
      <c r="A6" s="18">
        <v>4</v>
      </c>
      <c r="B6" s="17">
        <v>52.62</v>
      </c>
    </row>
    <row r="7" spans="1:2" ht="19.5" customHeight="1">
      <c r="A7" s="18">
        <v>5</v>
      </c>
      <c r="B7" s="17">
        <v>55.67999999999999</v>
      </c>
    </row>
    <row r="8" spans="1:2" ht="19.5" customHeight="1">
      <c r="A8" s="18">
        <v>6</v>
      </c>
      <c r="B8" s="17">
        <v>58.18</v>
      </c>
    </row>
    <row r="9" spans="1:2" ht="19.5" customHeight="1">
      <c r="A9" s="18">
        <v>7</v>
      </c>
      <c r="B9" s="17">
        <v>60.29</v>
      </c>
    </row>
    <row r="10" spans="1:2" ht="19.5" customHeight="1">
      <c r="A10" s="18">
        <v>8</v>
      </c>
      <c r="B10" s="17">
        <v>62.12</v>
      </c>
    </row>
    <row r="11" spans="1:2" ht="19.5" customHeight="1">
      <c r="A11" s="18">
        <v>9</v>
      </c>
      <c r="B11" s="17">
        <v>63.73</v>
      </c>
    </row>
    <row r="12" spans="1:2" ht="19.5" customHeight="1">
      <c r="A12" s="18">
        <v>10</v>
      </c>
      <c r="B12" s="17">
        <v>65.18</v>
      </c>
    </row>
    <row r="13" spans="1:2" ht="19.5" customHeight="1">
      <c r="A13" s="18">
        <v>11</v>
      </c>
      <c r="B13" s="17">
        <v>66.47999999999999</v>
      </c>
    </row>
    <row r="14" spans="1:2" ht="19.5" customHeight="1">
      <c r="A14" s="18">
        <v>12</v>
      </c>
      <c r="B14" s="17">
        <v>67.67</v>
      </c>
    </row>
    <row r="15" spans="1:2" ht="19.5" customHeight="1">
      <c r="A15" s="18">
        <v>13</v>
      </c>
      <c r="B15" s="17">
        <v>68.77</v>
      </c>
    </row>
    <row r="16" spans="1:2" ht="19.5" customHeight="1">
      <c r="A16" s="18">
        <v>14</v>
      </c>
      <c r="B16" s="17">
        <v>69.78999999999999</v>
      </c>
    </row>
    <row r="17" spans="1:2" ht="19.5" customHeight="1" thickBot="1">
      <c r="A17" s="19">
        <v>15</v>
      </c>
      <c r="B17" s="20">
        <v>70.73</v>
      </c>
    </row>
  </sheetData>
  <sheetProtection/>
  <mergeCells count="1">
    <mergeCell ref="A1:B1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3">
      <selection activeCell="A110" sqref="A11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6.00390625" style="0" customWidth="1"/>
    <col min="8" max="8" width="16.57421875" style="0" bestFit="1" customWidth="1"/>
  </cols>
  <sheetData>
    <row r="1" spans="1:8" ht="16.5" thickBot="1">
      <c r="A1" s="332" t="s">
        <v>274</v>
      </c>
      <c r="B1" s="333"/>
      <c r="C1" s="333"/>
      <c r="D1" s="333"/>
      <c r="E1" s="333"/>
      <c r="F1" s="333"/>
      <c r="G1" s="333"/>
      <c r="H1" s="334"/>
    </row>
    <row r="2" spans="1:8" ht="16.5" thickBot="1">
      <c r="A2" s="310" t="s">
        <v>276</v>
      </c>
      <c r="B2" s="311"/>
      <c r="C2" s="311"/>
      <c r="D2" s="311"/>
      <c r="E2" s="311"/>
      <c r="F2" s="311"/>
      <c r="G2" s="311"/>
      <c r="H2" s="312"/>
    </row>
    <row r="3" spans="1:8" ht="16.5" thickBot="1">
      <c r="A3" s="332" t="s">
        <v>269</v>
      </c>
      <c r="B3" s="333"/>
      <c r="C3" s="333"/>
      <c r="D3" s="333"/>
      <c r="E3" s="333"/>
      <c r="F3" s="333"/>
      <c r="G3" s="333"/>
      <c r="H3" s="334"/>
    </row>
    <row r="4" spans="1:8" ht="15.75" thickBot="1">
      <c r="A4" s="335" t="s">
        <v>9</v>
      </c>
      <c r="B4" s="336"/>
      <c r="C4" s="336"/>
      <c r="D4" s="336"/>
      <c r="E4" s="336"/>
      <c r="F4" s="336"/>
      <c r="G4" s="336"/>
      <c r="H4" s="337"/>
    </row>
    <row r="5" spans="1:8" ht="8.25" customHeight="1">
      <c r="A5" s="99"/>
      <c r="B5" s="99"/>
      <c r="C5" s="99"/>
      <c r="D5" s="99"/>
      <c r="E5" s="99"/>
      <c r="F5" s="99"/>
      <c r="G5" s="99"/>
      <c r="H5" s="96"/>
    </row>
    <row r="6" spans="1:8" ht="15.75">
      <c r="A6" s="100" t="s">
        <v>225</v>
      </c>
      <c r="B6" s="96"/>
      <c r="C6" s="96"/>
      <c r="D6" s="96"/>
      <c r="E6" s="96"/>
      <c r="F6" s="96"/>
      <c r="G6" s="96"/>
      <c r="H6" s="96"/>
    </row>
    <row r="7" spans="1:8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</row>
    <row r="8" spans="1:8" ht="15.75">
      <c r="A8" s="101" t="s">
        <v>106</v>
      </c>
      <c r="B8" s="320">
        <v>21</v>
      </c>
      <c r="C8" s="321"/>
      <c r="D8" s="104"/>
      <c r="E8" s="104"/>
      <c r="F8" s="104"/>
      <c r="G8" s="105">
        <f>SUM(B8:F8)</f>
        <v>21</v>
      </c>
      <c r="H8" s="103"/>
    </row>
    <row r="9" spans="1:8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</row>
    <row r="10" spans="1:8" ht="15.75">
      <c r="A10" s="101" t="s">
        <v>218</v>
      </c>
      <c r="B10" s="322">
        <v>94</v>
      </c>
      <c r="C10" s="323"/>
      <c r="D10" s="108"/>
      <c r="E10" s="108"/>
      <c r="F10" s="108"/>
      <c r="G10" s="109">
        <f>SUM(B10:F10)</f>
        <v>94</v>
      </c>
      <c r="H10" s="305">
        <f>G10/G13</f>
        <v>28.923076923076923</v>
      </c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94</v>
      </c>
      <c r="H11" s="103"/>
      <c r="J11" s="302"/>
      <c r="K11" s="302"/>
      <c r="L11" s="302"/>
      <c r="M11" s="302"/>
    </row>
    <row r="12" spans="1:8" ht="15.75">
      <c r="A12" s="258" t="s">
        <v>235</v>
      </c>
      <c r="B12" s="324" t="s">
        <v>289</v>
      </c>
      <c r="C12" s="325"/>
      <c r="D12" s="102" t="s">
        <v>277</v>
      </c>
      <c r="E12" s="303"/>
      <c r="F12" s="111"/>
      <c r="G12" s="112" t="s">
        <v>110</v>
      </c>
      <c r="H12" s="103"/>
    </row>
    <row r="13" spans="1:8" ht="15.75">
      <c r="A13" s="258" t="s">
        <v>111</v>
      </c>
      <c r="B13" s="324">
        <f>55/60+1</f>
        <v>1.9166666666666665</v>
      </c>
      <c r="C13" s="325"/>
      <c r="D13" s="102">
        <f>20/60+1</f>
        <v>1.3333333333333333</v>
      </c>
      <c r="E13" s="108">
        <f>E10/20</f>
        <v>0</v>
      </c>
      <c r="F13" s="113">
        <f>F10/20</f>
        <v>0</v>
      </c>
      <c r="G13" s="109">
        <f>SUM(B13:F13)</f>
        <v>3.25</v>
      </c>
      <c r="H13" s="114"/>
    </row>
    <row r="14" spans="1:8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</row>
    <row r="15" spans="1:8" ht="15.75">
      <c r="A15" s="326" t="s">
        <v>112</v>
      </c>
      <c r="B15" s="327"/>
      <c r="C15" s="327"/>
      <c r="D15" s="327"/>
      <c r="E15" s="327"/>
      <c r="F15" s="328"/>
      <c r="G15" s="110">
        <f>(G14+G13)</f>
        <v>5.25</v>
      </c>
      <c r="H15" s="115"/>
    </row>
    <row r="16" spans="1:8" ht="15.75">
      <c r="A16" s="326" t="s">
        <v>113</v>
      </c>
      <c r="B16" s="327"/>
      <c r="C16" s="327"/>
      <c r="D16" s="327"/>
      <c r="E16" s="327"/>
      <c r="F16" s="328"/>
      <c r="G16" s="116"/>
      <c r="H16" s="103"/>
    </row>
    <row r="17" spans="1:8" ht="15.75">
      <c r="A17" s="112" t="s">
        <v>114</v>
      </c>
      <c r="B17" s="338" t="s">
        <v>265</v>
      </c>
      <c r="C17" s="339"/>
      <c r="D17" s="339"/>
      <c r="E17" s="339"/>
      <c r="F17" s="339"/>
      <c r="G17" s="340"/>
      <c r="H17" s="103"/>
    </row>
    <row r="18" spans="1:8" ht="15.75">
      <c r="A18" s="329" t="s">
        <v>278</v>
      </c>
      <c r="B18" s="330"/>
      <c r="C18" s="330"/>
      <c r="D18" s="330"/>
      <c r="E18" s="330"/>
      <c r="F18" s="331"/>
      <c r="G18" s="265">
        <v>113000</v>
      </c>
      <c r="H18" s="103"/>
    </row>
    <row r="19" spans="1:10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J19" s="302"/>
    </row>
    <row r="20" spans="1:8" ht="15.75">
      <c r="A20" s="326" t="s">
        <v>211</v>
      </c>
      <c r="B20" s="327"/>
      <c r="C20" s="327"/>
      <c r="D20" s="327"/>
      <c r="E20" s="327"/>
      <c r="F20" s="328"/>
      <c r="G20" s="266">
        <v>4</v>
      </c>
      <c r="H20" s="103"/>
    </row>
    <row r="21" spans="1:8" ht="15.75">
      <c r="A21" s="326" t="s">
        <v>206</v>
      </c>
      <c r="B21" s="327"/>
      <c r="C21" s="327"/>
      <c r="D21" s="327"/>
      <c r="E21" s="327"/>
      <c r="F21" s="328"/>
      <c r="G21" s="266">
        <v>0.55</v>
      </c>
      <c r="H21" s="103"/>
    </row>
    <row r="22" spans="1:8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</row>
    <row r="23" spans="1:8" ht="15.75">
      <c r="A23" s="326" t="s">
        <v>195</v>
      </c>
      <c r="B23" s="327"/>
      <c r="C23" s="327"/>
      <c r="D23" s="327"/>
      <c r="E23" s="327"/>
      <c r="F23" s="328"/>
      <c r="G23" s="109">
        <f>G22*G11</f>
        <v>1880</v>
      </c>
      <c r="H23" s="103"/>
    </row>
    <row r="24" spans="1:8" ht="12.75" customHeight="1">
      <c r="A24" s="103"/>
      <c r="B24" s="103"/>
      <c r="C24" s="103"/>
      <c r="D24" s="103"/>
      <c r="E24" s="103"/>
      <c r="F24" s="103"/>
      <c r="G24" s="103"/>
      <c r="H24" s="103"/>
    </row>
    <row r="25" spans="1:8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</row>
    <row r="26" spans="1:8" ht="16.5" thickBot="1">
      <c r="A26" s="112" t="s">
        <v>202</v>
      </c>
      <c r="B26" s="287">
        <f>(G22*G11*G19)/G20</f>
        <v>3003.2999999999997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</row>
    <row r="27" spans="1:8" ht="15.75">
      <c r="A27" s="112" t="s">
        <v>203</v>
      </c>
      <c r="B27" s="287">
        <f>G21*G23</f>
        <v>1034</v>
      </c>
      <c r="C27" s="120"/>
      <c r="D27" s="267" t="s">
        <v>196</v>
      </c>
      <c r="E27" s="268" t="s">
        <v>2</v>
      </c>
      <c r="F27" s="269">
        <v>6</v>
      </c>
      <c r="G27" s="270">
        <v>1500</v>
      </c>
      <c r="H27" s="271">
        <f>F27*G27</f>
        <v>9000</v>
      </c>
    </row>
    <row r="28" spans="1:8" ht="15.75">
      <c r="A28" s="112" t="str">
        <f>D25</f>
        <v>1.3 Pneus</v>
      </c>
      <c r="B28" s="287">
        <f>H31</f>
        <v>338.4</v>
      </c>
      <c r="C28" s="121"/>
      <c r="D28" s="267" t="s">
        <v>200</v>
      </c>
      <c r="E28" s="268" t="s">
        <v>2</v>
      </c>
      <c r="F28" s="285">
        <v>2</v>
      </c>
      <c r="G28" s="272"/>
      <c r="H28" s="271"/>
    </row>
    <row r="29" spans="1:8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450</v>
      </c>
      <c r="H29" s="271">
        <f>F29*G29</f>
        <v>5400</v>
      </c>
    </row>
    <row r="30" spans="1:8" ht="15.75">
      <c r="A30" s="102" t="s">
        <v>117</v>
      </c>
      <c r="B30" s="124">
        <f>SUM(B26:B29)</f>
        <v>4375.7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14400</v>
      </c>
      <c r="H30" s="276">
        <f>_xlfn.IFERROR(G30/F30,"-")</f>
        <v>0.18</v>
      </c>
    </row>
    <row r="31" spans="1:8" ht="15.75">
      <c r="A31" s="126"/>
      <c r="B31" s="125"/>
      <c r="C31" s="125"/>
      <c r="D31" s="273" t="s">
        <v>199</v>
      </c>
      <c r="E31" s="274" t="s">
        <v>3</v>
      </c>
      <c r="F31" s="277">
        <f>G23</f>
        <v>1880</v>
      </c>
      <c r="G31" s="276">
        <f>H30</f>
        <v>0.18</v>
      </c>
      <c r="H31" s="286">
        <f>_xlfn.IFERROR(F31*G31,0)</f>
        <v>338.4</v>
      </c>
    </row>
    <row r="32" spans="1:8" ht="12" customHeight="1">
      <c r="A32" s="126"/>
      <c r="B32" s="127"/>
      <c r="C32" s="127"/>
      <c r="D32" s="103"/>
      <c r="E32" s="103" t="s">
        <v>28</v>
      </c>
      <c r="F32" s="103"/>
      <c r="G32" s="103"/>
      <c r="H32" s="103"/>
    </row>
    <row r="33" spans="1:8" ht="15.75">
      <c r="A33" s="342" t="s">
        <v>118</v>
      </c>
      <c r="B33" s="343"/>
      <c r="C33" s="343"/>
      <c r="D33" s="343"/>
      <c r="E33" s="343"/>
      <c r="F33" s="343"/>
      <c r="G33" s="343"/>
      <c r="H33" s="343"/>
    </row>
    <row r="34" spans="1:8" ht="15.75">
      <c r="A34" s="128" t="s">
        <v>312</v>
      </c>
      <c r="B34" s="307">
        <f>G44*0.1375</f>
        <v>15537.500000000002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</row>
    <row r="35" spans="1:8" ht="15.75">
      <c r="A35" s="123" t="s">
        <v>123</v>
      </c>
      <c r="B35" s="131">
        <v>0</v>
      </c>
      <c r="C35" s="129"/>
      <c r="D35" s="308">
        <v>2772.62</v>
      </c>
      <c r="E35" s="309">
        <f>'Encargos Sociais'!C38</f>
        <v>0.352117</v>
      </c>
      <c r="F35" s="132">
        <f>(D35*E35)+D35</f>
        <v>3748.90663654</v>
      </c>
      <c r="G35" s="136">
        <v>10</v>
      </c>
      <c r="H35" s="110">
        <f>F35*G35</f>
        <v>37489.0663654</v>
      </c>
    </row>
    <row r="36" spans="1:8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</row>
    <row r="37" spans="1:8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</row>
    <row r="38" spans="1:8" ht="15.75">
      <c r="A38" s="123" t="s">
        <v>127</v>
      </c>
      <c r="B38" s="131">
        <f>H48</f>
        <v>5328.326666666666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</row>
    <row r="39" spans="1:8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</row>
    <row r="40" spans="1:8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42947.30636540001</v>
      </c>
    </row>
    <row r="41" spans="1:8" ht="15.75" thickBot="1">
      <c r="A41" s="123" t="s">
        <v>132</v>
      </c>
      <c r="B41" s="133">
        <f>H40*B40</f>
        <v>42947.30636540001</v>
      </c>
      <c r="C41" s="129"/>
      <c r="D41" s="103"/>
      <c r="E41" s="259"/>
      <c r="F41" s="259"/>
      <c r="G41" s="259"/>
      <c r="H41" s="259"/>
    </row>
    <row r="42" spans="1:8" ht="16.5" thickBot="1">
      <c r="A42" s="112" t="s">
        <v>133</v>
      </c>
      <c r="B42" s="124">
        <f>SUM(B34:B39)+B41</f>
        <v>66907.23303206667</v>
      </c>
      <c r="C42" s="140"/>
      <c r="D42" s="141" t="s">
        <v>131</v>
      </c>
      <c r="E42" s="142"/>
      <c r="F42" s="142"/>
      <c r="G42" s="103"/>
      <c r="H42" s="103"/>
    </row>
    <row r="43" spans="1:8" ht="16.5" thickBot="1">
      <c r="A43" s="112" t="s">
        <v>135</v>
      </c>
      <c r="B43" s="124">
        <f>B42/10*B44</f>
        <v>3991.624697935795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</row>
    <row r="44" spans="1:8" ht="15.75">
      <c r="A44" s="156" t="s">
        <v>136</v>
      </c>
      <c r="B44" s="157">
        <f>((G15*5)/44)</f>
        <v>0.5965909090909091</v>
      </c>
      <c r="C44" s="125"/>
      <c r="D44" s="146" t="s">
        <v>134</v>
      </c>
      <c r="E44" s="147" t="s">
        <v>2</v>
      </c>
      <c r="F44" s="148">
        <v>1</v>
      </c>
      <c r="G44" s="149">
        <f>G18</f>
        <v>113000</v>
      </c>
      <c r="H44" s="150">
        <f>F44*G44</f>
        <v>113000</v>
      </c>
    </row>
    <row r="45" spans="3:8" ht="15.75">
      <c r="C45" s="125"/>
      <c r="D45" s="151" t="s">
        <v>26</v>
      </c>
      <c r="E45" s="152" t="s">
        <v>27</v>
      </c>
      <c r="F45" s="153">
        <v>15</v>
      </c>
      <c r="G45" s="154"/>
      <c r="H45" s="155"/>
    </row>
    <row r="46" spans="3:8" ht="15.75">
      <c r="C46" s="158"/>
      <c r="D46" s="151" t="s">
        <v>87</v>
      </c>
      <c r="E46" s="152" t="s">
        <v>27</v>
      </c>
      <c r="F46" s="159">
        <v>0</v>
      </c>
      <c r="G46" s="155"/>
      <c r="H46" s="155"/>
    </row>
    <row r="47" spans="1:8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113000</v>
      </c>
      <c r="H47" s="155">
        <f>F47*G47/100</f>
        <v>79924.9</v>
      </c>
    </row>
    <row r="48" spans="1:8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79924.9</v>
      </c>
      <c r="H48" s="164">
        <f>_xlfn.IFERROR(G48/F48,0)*12</f>
        <v>5328.326666666666</v>
      </c>
    </row>
    <row r="49" spans="1:8" ht="15.75" thickTop="1">
      <c r="A49" s="121"/>
      <c r="B49" s="127"/>
      <c r="C49" s="127"/>
      <c r="D49" s="103"/>
      <c r="E49" s="103"/>
      <c r="F49" s="259"/>
      <c r="G49" s="259"/>
      <c r="H49" s="259"/>
    </row>
    <row r="50" spans="1:8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8367.324697935795</v>
      </c>
    </row>
    <row r="51" spans="1:8" ht="12.75">
      <c r="A51" s="166"/>
      <c r="B51" s="166"/>
      <c r="C51" s="166"/>
      <c r="D51" s="166"/>
      <c r="E51" s="166"/>
      <c r="F51" s="167"/>
      <c r="G51" s="167"/>
      <c r="H51" s="167"/>
    </row>
    <row r="52" spans="1:8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</row>
    <row r="53" spans="1:8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</row>
    <row r="54" spans="1:8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8367.324697935795</v>
      </c>
      <c r="F54" s="150">
        <f>D54*E54/1</f>
        <v>2305.197954281312</v>
      </c>
      <c r="G54" s="176"/>
      <c r="H54" s="103"/>
    </row>
    <row r="55" spans="1:8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2305.197954281312</v>
      </c>
      <c r="H55" s="103"/>
    </row>
    <row r="56" spans="1:8" ht="15.75" thickBot="1">
      <c r="A56" s="166"/>
      <c r="B56" s="166"/>
      <c r="C56" s="166"/>
      <c r="D56" s="182"/>
      <c r="E56" s="182"/>
      <c r="F56" s="176"/>
      <c r="G56" s="176"/>
      <c r="H56" s="176"/>
    </row>
    <row r="57" spans="1:8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2305.197954281312</v>
      </c>
    </row>
    <row r="58" spans="1:8" ht="13.5" thickBot="1">
      <c r="A58" s="166"/>
      <c r="B58" s="166"/>
      <c r="C58" s="166"/>
      <c r="D58" s="166"/>
      <c r="E58" s="166"/>
      <c r="F58" s="167"/>
      <c r="G58" s="167"/>
      <c r="H58" s="167"/>
    </row>
    <row r="59" spans="1:8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10672.522652217107</v>
      </c>
    </row>
    <row r="60" spans="1:8" ht="15.75" thickBot="1">
      <c r="A60" s="121"/>
      <c r="B60" s="127"/>
      <c r="C60" s="127"/>
      <c r="D60" s="103"/>
      <c r="E60" s="103"/>
      <c r="F60" s="259"/>
      <c r="G60" s="259"/>
      <c r="H60" s="103"/>
    </row>
    <row r="61" spans="1:8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5.676873751179312</v>
      </c>
    </row>
    <row r="62" spans="1:8" ht="10.5" customHeight="1" thickBot="1">
      <c r="A62" s="103"/>
      <c r="B62" s="103"/>
      <c r="C62" s="103"/>
      <c r="D62" s="103"/>
      <c r="E62" s="103"/>
      <c r="F62" s="103"/>
      <c r="G62" s="103"/>
      <c r="H62" s="103"/>
    </row>
    <row r="63" spans="1:8" ht="18">
      <c r="A63" s="345" t="s">
        <v>83</v>
      </c>
      <c r="B63" s="346"/>
      <c r="C63" s="346"/>
      <c r="D63" s="346"/>
      <c r="E63" s="346"/>
      <c r="F63" s="347"/>
      <c r="G63" s="348"/>
      <c r="H63" s="103"/>
    </row>
    <row r="64" spans="1:8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</row>
    <row r="65" spans="1:8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4375.7</v>
      </c>
      <c r="G65" s="203">
        <f>F65/$F$74</f>
        <v>0.40999678731916234</v>
      </c>
      <c r="H65" s="103"/>
    </row>
    <row r="66" spans="1:8" ht="18">
      <c r="A66" s="204" t="str">
        <f>A26</f>
        <v>1.1 Combustível </v>
      </c>
      <c r="B66" s="205"/>
      <c r="C66" s="205"/>
      <c r="D66" s="195"/>
      <c r="E66" s="206"/>
      <c r="F66" s="206">
        <f>B26</f>
        <v>3003.2999999999997</v>
      </c>
      <c r="G66" s="207">
        <f aca="true" t="shared" si="0" ref="G66:G72">F66/$F$74</f>
        <v>0.2814048840998332</v>
      </c>
      <c r="H66" s="103"/>
    </row>
    <row r="67" spans="1:8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1034</v>
      </c>
      <c r="G67" s="207">
        <f t="shared" si="0"/>
        <v>0.09688431064470003</v>
      </c>
      <c r="H67" s="103"/>
    </row>
    <row r="68" spans="1:8" ht="18">
      <c r="A68" s="208" t="str">
        <f>A28</f>
        <v>1.3 Pneus</v>
      </c>
      <c r="B68" s="209"/>
      <c r="C68" s="209"/>
      <c r="D68" s="210"/>
      <c r="E68" s="211"/>
      <c r="F68" s="206">
        <f>B28</f>
        <v>338.4</v>
      </c>
      <c r="G68" s="207">
        <f t="shared" si="0"/>
        <v>0.031707592574629094</v>
      </c>
      <c r="H68" s="103"/>
    </row>
    <row r="69" spans="1:8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3991.624697935795</v>
      </c>
      <c r="G69" s="203">
        <f t="shared" si="0"/>
        <v>0.37400948473101403</v>
      </c>
      <c r="H69" s="103"/>
    </row>
    <row r="70" spans="1:8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3991.624697935795</v>
      </c>
      <c r="G70" s="207">
        <f>F70/$F$74</f>
        <v>0.37400948473101403</v>
      </c>
      <c r="H70" s="103"/>
    </row>
    <row r="71" spans="1:8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8367.324697935795</v>
      </c>
      <c r="G71" s="203">
        <f t="shared" si="0"/>
        <v>0.7840062720501764</v>
      </c>
      <c r="H71" s="103"/>
    </row>
    <row r="72" spans="1:8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2305.197954281312</v>
      </c>
      <c r="G72" s="203">
        <f t="shared" si="0"/>
        <v>0.21599372794982363</v>
      </c>
      <c r="H72" s="103"/>
    </row>
    <row r="73" spans="1:8" ht="18.75" thickBot="1">
      <c r="A73" s="219"/>
      <c r="B73" s="220"/>
      <c r="C73" s="220"/>
      <c r="D73" s="221"/>
      <c r="E73" s="222"/>
      <c r="F73" s="223"/>
      <c r="G73" s="224"/>
      <c r="H73" s="103"/>
    </row>
    <row r="74" spans="1:8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10672.522652217107</v>
      </c>
      <c r="G74" s="228">
        <f>G71+G72</f>
        <v>1</v>
      </c>
      <c r="H74" s="103"/>
    </row>
    <row r="75" spans="1:8" ht="18">
      <c r="A75" s="229"/>
      <c r="B75" s="230"/>
      <c r="C75" s="230"/>
      <c r="D75" s="230"/>
      <c r="E75" s="230"/>
      <c r="F75" s="230"/>
      <c r="G75" s="231"/>
      <c r="H75" s="103"/>
    </row>
    <row r="76" spans="1:8" ht="18">
      <c r="A76" s="232" t="s">
        <v>146</v>
      </c>
      <c r="B76" s="233"/>
      <c r="C76" s="233"/>
      <c r="D76" s="233"/>
      <c r="E76" s="233"/>
      <c r="F76" s="233"/>
      <c r="G76" s="234">
        <f>G11</f>
        <v>94</v>
      </c>
      <c r="H76" s="103"/>
    </row>
    <row r="77" spans="1:8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1880</v>
      </c>
      <c r="H78" s="103"/>
    </row>
    <row r="79" spans="1:8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5.676873751179312</v>
      </c>
      <c r="H79" s="103"/>
    </row>
    <row r="80" spans="1:8" ht="15">
      <c r="A80" s="103"/>
      <c r="B80" s="103"/>
      <c r="C80" s="103"/>
      <c r="D80" s="103"/>
      <c r="E80" s="103"/>
      <c r="F80" s="103"/>
      <c r="G80" s="103"/>
      <c r="H80" s="103"/>
    </row>
    <row r="81" spans="1:8" ht="18">
      <c r="A81" s="239" t="s">
        <v>227</v>
      </c>
      <c r="B81" s="103"/>
      <c r="C81" s="103"/>
      <c r="D81" s="103"/>
      <c r="E81" s="103"/>
      <c r="F81" s="103"/>
      <c r="G81" s="103"/>
      <c r="H81" s="103"/>
    </row>
    <row r="82" spans="1:8" ht="15.75">
      <c r="A82" s="240" t="s">
        <v>226</v>
      </c>
      <c r="B82" s="103"/>
      <c r="C82" s="103"/>
      <c r="D82" s="103"/>
      <c r="E82" s="103"/>
      <c r="F82" s="103"/>
      <c r="G82" s="103"/>
      <c r="H82" s="103"/>
    </row>
    <row r="83" spans="1:8" ht="15.75">
      <c r="A83" s="240" t="s">
        <v>150</v>
      </c>
      <c r="B83" s="241">
        <f>G11</f>
        <v>94</v>
      </c>
      <c r="C83" s="241"/>
      <c r="D83" s="242" t="s">
        <v>151</v>
      </c>
      <c r="E83" s="103"/>
      <c r="F83" s="103"/>
      <c r="G83" s="103"/>
      <c r="H83" s="103"/>
    </row>
    <row r="84" spans="1:8" ht="15.75">
      <c r="A84" s="240" t="s">
        <v>212</v>
      </c>
      <c r="B84" s="242"/>
      <c r="C84" s="242"/>
      <c r="D84" s="242"/>
      <c r="E84" s="103"/>
      <c r="F84" s="103"/>
      <c r="G84" s="103"/>
      <c r="H84" s="103"/>
    </row>
    <row r="85" spans="1:8" ht="15.75">
      <c r="A85" s="240" t="s">
        <v>152</v>
      </c>
      <c r="B85" s="243"/>
      <c r="C85" s="243"/>
      <c r="D85" s="244">
        <f>H61</f>
        <v>5.676873751179312</v>
      </c>
      <c r="E85" s="245"/>
      <c r="F85" s="341"/>
      <c r="G85" s="341"/>
      <c r="H85" s="341"/>
    </row>
    <row r="86" spans="1:8" ht="15.75">
      <c r="A86" s="240"/>
      <c r="B86" s="97"/>
      <c r="C86" s="97"/>
      <c r="D86" s="97"/>
      <c r="E86" s="97"/>
      <c r="F86" s="341"/>
      <c r="G86" s="341"/>
      <c r="H86" s="341"/>
    </row>
    <row r="87" spans="1:8" ht="18">
      <c r="A87" s="246" t="s">
        <v>153</v>
      </c>
      <c r="B87" s="97"/>
      <c r="C87" s="97"/>
      <c r="D87" s="97"/>
      <c r="E87" s="97"/>
      <c r="F87" s="97"/>
      <c r="G87" s="97"/>
      <c r="H87" s="97"/>
    </row>
    <row r="88" spans="1:8" ht="18">
      <c r="A88" s="247"/>
      <c r="B88" s="247"/>
      <c r="C88" s="247"/>
      <c r="D88" s="247"/>
      <c r="E88" s="247"/>
      <c r="F88" s="247"/>
      <c r="G88" s="247"/>
      <c r="H88" s="247"/>
    </row>
    <row r="89" spans="1:8" ht="18">
      <c r="A89" s="247" t="s">
        <v>154</v>
      </c>
      <c r="B89" s="247"/>
      <c r="C89" s="247"/>
      <c r="D89" s="247"/>
      <c r="E89" s="247"/>
      <c r="F89" s="247"/>
      <c r="G89" s="247"/>
      <c r="H89" s="247"/>
    </row>
    <row r="90" spans="1:8" ht="18">
      <c r="A90" s="247" t="s">
        <v>155</v>
      </c>
      <c r="B90" s="247"/>
      <c r="C90" s="247"/>
      <c r="D90" s="247"/>
      <c r="E90" s="247"/>
      <c r="F90" s="247"/>
      <c r="G90" s="247"/>
      <c r="H90" s="247"/>
    </row>
    <row r="91" spans="1:8" ht="18">
      <c r="A91" s="247" t="s">
        <v>156</v>
      </c>
      <c r="B91" s="247"/>
      <c r="C91" s="247"/>
      <c r="D91" s="247"/>
      <c r="E91" s="247"/>
      <c r="F91" s="247"/>
      <c r="G91" s="247"/>
      <c r="H91" s="247"/>
    </row>
    <row r="92" spans="1:8" ht="18">
      <c r="A92" s="247" t="s">
        <v>157</v>
      </c>
      <c r="B92" s="247"/>
      <c r="C92" s="247"/>
      <c r="D92" s="247"/>
      <c r="E92" s="247"/>
      <c r="F92" s="247"/>
      <c r="G92" s="247"/>
      <c r="H92" s="247"/>
    </row>
    <row r="93" spans="1:8" ht="18">
      <c r="A93" s="247" t="s">
        <v>158</v>
      </c>
      <c r="B93" s="247"/>
      <c r="C93" s="247"/>
      <c r="D93" s="247"/>
      <c r="E93" s="247"/>
      <c r="F93" s="247"/>
      <c r="G93" s="247"/>
      <c r="H93" s="247"/>
    </row>
    <row r="94" spans="1:8" ht="18">
      <c r="A94" s="247" t="s">
        <v>260</v>
      </c>
      <c r="B94" s="247" t="str">
        <f>B17</f>
        <v>Veículo no mínimo de 22 lugares</v>
      </c>
      <c r="C94" s="247"/>
      <c r="D94" s="247"/>
      <c r="E94" s="247"/>
      <c r="F94" s="247"/>
      <c r="G94" s="247"/>
      <c r="H94" s="247"/>
    </row>
    <row r="95" spans="1:8" ht="18">
      <c r="A95" s="247" t="s">
        <v>187</v>
      </c>
      <c r="B95" s="247"/>
      <c r="C95" s="247"/>
      <c r="D95" s="247"/>
      <c r="E95" s="247"/>
      <c r="F95" s="247"/>
      <c r="G95" s="247"/>
      <c r="H95" s="247"/>
    </row>
    <row r="96" spans="1:8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</row>
    <row r="97" spans="1:8" ht="18">
      <c r="A97" s="247" t="s">
        <v>204</v>
      </c>
      <c r="B97" s="247"/>
      <c r="C97" s="247"/>
      <c r="D97" s="247"/>
      <c r="E97" s="247"/>
      <c r="F97" s="247"/>
      <c r="G97" s="247"/>
      <c r="H97" s="247"/>
    </row>
    <row r="98" spans="1:8" ht="18">
      <c r="A98" s="247" t="s">
        <v>185</v>
      </c>
      <c r="B98" s="247"/>
      <c r="C98" s="247"/>
      <c r="D98" s="247"/>
      <c r="E98" s="247"/>
      <c r="F98" s="247"/>
      <c r="G98" s="247"/>
      <c r="H98" s="247"/>
    </row>
    <row r="99" spans="1:8" ht="18">
      <c r="A99" s="247" t="s">
        <v>258</v>
      </c>
      <c r="B99" s="247"/>
      <c r="C99" s="247">
        <f>G20</f>
        <v>4</v>
      </c>
      <c r="D99" s="247" t="s">
        <v>259</v>
      </c>
      <c r="E99" s="247" t="s">
        <v>257</v>
      </c>
      <c r="F99" s="247"/>
      <c r="G99" s="247"/>
      <c r="H99" s="247"/>
    </row>
    <row r="100" spans="1:8" ht="18">
      <c r="A100" s="247" t="s">
        <v>189</v>
      </c>
      <c r="B100" s="247"/>
      <c r="C100" s="247"/>
      <c r="D100" s="247"/>
      <c r="E100" s="247"/>
      <c r="F100" s="247"/>
      <c r="G100" s="247"/>
      <c r="H100" s="247"/>
    </row>
    <row r="101" spans="1:8" ht="18">
      <c r="A101" s="247" t="s">
        <v>190</v>
      </c>
      <c r="B101" s="247"/>
      <c r="C101" s="247"/>
      <c r="D101" s="247"/>
      <c r="E101" s="247"/>
      <c r="F101" s="247"/>
      <c r="G101" s="247"/>
      <c r="H101" s="247"/>
    </row>
    <row r="102" spans="1:8" ht="18">
      <c r="A102" s="247" t="s">
        <v>207</v>
      </c>
      <c r="B102" s="247"/>
      <c r="C102" s="247"/>
      <c r="D102" s="247"/>
      <c r="E102" s="247"/>
      <c r="F102" s="247"/>
      <c r="G102" s="247"/>
      <c r="H102" s="247"/>
    </row>
    <row r="103" spans="1:8" ht="18">
      <c r="A103" s="247" t="s">
        <v>208</v>
      </c>
      <c r="B103" s="247"/>
      <c r="C103" s="247"/>
      <c r="D103" s="247"/>
      <c r="E103" s="247"/>
      <c r="F103" s="247"/>
      <c r="G103" s="247"/>
      <c r="H103" s="247"/>
    </row>
    <row r="104" spans="1:8" ht="18">
      <c r="A104" s="247" t="s">
        <v>247</v>
      </c>
      <c r="B104" s="247"/>
      <c r="C104" s="247"/>
      <c r="D104" s="247"/>
      <c r="E104" s="247"/>
      <c r="F104" s="247"/>
      <c r="G104" s="247"/>
      <c r="H104" s="247"/>
    </row>
    <row r="105" spans="1:8" ht="18">
      <c r="A105" s="247" t="s">
        <v>192</v>
      </c>
      <c r="B105" s="247"/>
      <c r="C105" s="247"/>
      <c r="D105" s="247"/>
      <c r="E105" s="247"/>
      <c r="F105" s="247"/>
      <c r="G105" s="247"/>
      <c r="H105" s="247"/>
    </row>
    <row r="106" spans="1:8" ht="18">
      <c r="A106" s="247" t="s">
        <v>160</v>
      </c>
      <c r="B106" s="247"/>
      <c r="C106" s="247"/>
      <c r="D106" s="247"/>
      <c r="E106" s="247"/>
      <c r="F106" s="247"/>
      <c r="G106" s="247"/>
      <c r="H106" s="247"/>
    </row>
    <row r="107" spans="1:8" ht="18">
      <c r="A107" s="247" t="s">
        <v>161</v>
      </c>
      <c r="B107" s="247"/>
      <c r="C107" s="247"/>
      <c r="D107" s="247"/>
      <c r="E107" s="247"/>
      <c r="F107" s="247"/>
      <c r="G107" s="247"/>
      <c r="H107" s="247"/>
    </row>
    <row r="108" spans="1:8" ht="18">
      <c r="A108" s="247" t="s">
        <v>188</v>
      </c>
      <c r="B108" s="247"/>
      <c r="C108" s="247"/>
      <c r="D108" s="247"/>
      <c r="E108" s="247"/>
      <c r="F108" s="247"/>
      <c r="G108" s="247"/>
      <c r="H108" s="247"/>
    </row>
    <row r="109" spans="1:8" ht="18">
      <c r="A109" s="247" t="s">
        <v>217</v>
      </c>
      <c r="B109" s="247"/>
      <c r="C109" s="247"/>
      <c r="D109" s="247"/>
      <c r="E109" s="247"/>
      <c r="F109" s="247"/>
      <c r="G109" s="247"/>
      <c r="H109" s="247"/>
    </row>
    <row r="110" spans="1:8" ht="18">
      <c r="A110" s="247" t="s">
        <v>317</v>
      </c>
      <c r="B110" s="247"/>
      <c r="C110" s="247"/>
      <c r="D110" s="247"/>
      <c r="E110" s="247"/>
      <c r="F110" s="247"/>
      <c r="G110" s="247"/>
      <c r="H110" s="247"/>
    </row>
    <row r="111" spans="1:8" ht="18">
      <c r="A111" s="247" t="s">
        <v>315</v>
      </c>
      <c r="B111" s="247"/>
      <c r="C111" s="247"/>
      <c r="D111" s="247"/>
      <c r="E111" s="247"/>
      <c r="F111" s="247"/>
      <c r="G111" s="247"/>
      <c r="H111" s="247"/>
    </row>
    <row r="112" spans="1:8" ht="18">
      <c r="A112" s="247" t="s">
        <v>316</v>
      </c>
      <c r="B112" s="247"/>
      <c r="C112" s="247"/>
      <c r="D112" s="247"/>
      <c r="E112" s="247"/>
      <c r="F112" s="247"/>
      <c r="G112" s="247"/>
      <c r="H112" s="247"/>
    </row>
    <row r="113" spans="1:8" ht="18">
      <c r="A113" s="247" t="s">
        <v>162</v>
      </c>
      <c r="B113" s="247"/>
      <c r="C113" s="247"/>
      <c r="D113" s="247"/>
      <c r="E113" s="247"/>
      <c r="F113" s="247"/>
      <c r="G113" s="247"/>
      <c r="H113" s="247"/>
    </row>
    <row r="114" spans="1:8" ht="18">
      <c r="A114" s="247" t="s">
        <v>248</v>
      </c>
      <c r="B114" s="247"/>
      <c r="C114" s="247"/>
      <c r="D114" s="247"/>
      <c r="E114" s="247"/>
      <c r="F114" s="247"/>
      <c r="G114" s="247"/>
      <c r="H114" s="247"/>
    </row>
    <row r="115" spans="1:8" ht="18">
      <c r="A115" s="247" t="s">
        <v>213</v>
      </c>
      <c r="B115" s="247"/>
      <c r="C115" s="247"/>
      <c r="D115" s="247"/>
      <c r="E115" s="247"/>
      <c r="F115" s="247"/>
      <c r="G115" s="247"/>
      <c r="H115" s="247"/>
    </row>
    <row r="116" spans="1:8" ht="18">
      <c r="A116" s="247" t="s">
        <v>163</v>
      </c>
      <c r="B116" s="247"/>
      <c r="C116" s="247"/>
      <c r="D116" s="247"/>
      <c r="E116" s="247"/>
      <c r="F116" s="247"/>
      <c r="G116" s="247"/>
      <c r="H116" s="247"/>
    </row>
    <row r="117" spans="1:8" ht="18">
      <c r="A117" s="247" t="s">
        <v>164</v>
      </c>
      <c r="B117" s="247"/>
      <c r="C117" s="247"/>
      <c r="D117" s="247"/>
      <c r="E117" s="247"/>
      <c r="F117" s="247"/>
      <c r="G117" s="247"/>
      <c r="H117" s="247"/>
    </row>
    <row r="118" spans="1:8" ht="18">
      <c r="A118" s="247" t="s">
        <v>165</v>
      </c>
      <c r="B118" s="247"/>
      <c r="C118" s="247"/>
      <c r="D118" s="247"/>
      <c r="E118" s="247"/>
      <c r="F118" s="247"/>
      <c r="G118" s="247"/>
      <c r="H118" s="247"/>
    </row>
    <row r="119" spans="1:8" ht="18">
      <c r="A119" s="247" t="s">
        <v>166</v>
      </c>
      <c r="B119" s="247"/>
      <c r="C119" s="247"/>
      <c r="D119" s="247"/>
      <c r="E119" s="247"/>
      <c r="F119" s="247"/>
      <c r="G119" s="247"/>
      <c r="H119" s="247"/>
    </row>
    <row r="120" spans="1:8" ht="18">
      <c r="A120" s="247" t="s">
        <v>209</v>
      </c>
      <c r="B120" s="247"/>
      <c r="C120" s="247"/>
      <c r="D120" s="247"/>
      <c r="E120" s="247"/>
      <c r="F120" s="247"/>
      <c r="G120" s="247"/>
      <c r="H120" s="247"/>
    </row>
    <row r="121" spans="1:8" ht="18">
      <c r="A121" s="247" t="s">
        <v>249</v>
      </c>
      <c r="B121" s="97"/>
      <c r="C121" s="97"/>
      <c r="D121" s="97"/>
      <c r="E121" s="97"/>
      <c r="F121" s="97"/>
      <c r="G121" s="97"/>
      <c r="H121" s="97"/>
    </row>
    <row r="122" spans="1:8" ht="18">
      <c r="A122" s="247" t="s">
        <v>214</v>
      </c>
      <c r="B122" s="97"/>
      <c r="C122" s="97"/>
      <c r="D122" s="97"/>
      <c r="E122" s="97"/>
      <c r="F122" s="97"/>
      <c r="G122" s="97"/>
      <c r="H122" s="97"/>
    </row>
    <row r="123" spans="1:8" ht="18">
      <c r="A123" s="247" t="s">
        <v>167</v>
      </c>
      <c r="B123" s="97"/>
      <c r="C123" s="97"/>
      <c r="D123" s="97"/>
      <c r="E123" s="97"/>
      <c r="F123" s="97"/>
      <c r="G123" s="97"/>
      <c r="H123" s="97"/>
    </row>
    <row r="124" spans="1:8" ht="18">
      <c r="A124" s="247" t="s">
        <v>168</v>
      </c>
      <c r="B124" s="97"/>
      <c r="C124" s="97"/>
      <c r="D124" s="97"/>
      <c r="E124" s="97"/>
      <c r="F124" s="97"/>
      <c r="G124" s="97"/>
      <c r="H124" s="97"/>
    </row>
    <row r="125" spans="1:8" ht="18">
      <c r="A125" s="247" t="s">
        <v>169</v>
      </c>
      <c r="B125" s="97"/>
      <c r="C125" s="97"/>
      <c r="D125" s="97"/>
      <c r="E125" s="97"/>
      <c r="F125" s="97"/>
      <c r="G125" s="97"/>
      <c r="H125" s="97"/>
    </row>
    <row r="126" spans="1:8" ht="18">
      <c r="A126" s="247" t="s">
        <v>170</v>
      </c>
      <c r="B126" s="97"/>
      <c r="C126" s="97"/>
      <c r="D126" s="97"/>
      <c r="E126" s="97"/>
      <c r="F126" s="97"/>
      <c r="G126" s="97"/>
      <c r="H126" s="97"/>
    </row>
    <row r="127" spans="1:8" ht="18">
      <c r="A127" s="247" t="s">
        <v>171</v>
      </c>
      <c r="B127" s="97"/>
      <c r="C127" s="97"/>
      <c r="D127" s="97"/>
      <c r="E127" s="97"/>
      <c r="F127" s="97"/>
      <c r="G127" s="97"/>
      <c r="H127" s="97"/>
    </row>
    <row r="128" spans="1:8" ht="18">
      <c r="A128" s="247" t="s">
        <v>216</v>
      </c>
      <c r="B128" s="97"/>
      <c r="C128" s="97"/>
      <c r="D128" s="97"/>
      <c r="E128" s="97"/>
      <c r="F128" s="97"/>
      <c r="G128" s="97"/>
      <c r="H128" s="97"/>
    </row>
    <row r="129" spans="1:8" ht="16.5">
      <c r="A129" s="248"/>
      <c r="B129" s="97"/>
      <c r="C129" s="97"/>
      <c r="D129" s="97"/>
      <c r="E129" s="97"/>
      <c r="F129" s="97"/>
      <c r="G129" s="97"/>
      <c r="H129" s="97"/>
    </row>
    <row r="130" spans="1:8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</row>
    <row r="131" spans="1:8" ht="18">
      <c r="A131" s="247"/>
      <c r="B131" s="97"/>
      <c r="C131" s="97"/>
      <c r="D131" s="97"/>
      <c r="E131" s="97"/>
      <c r="F131" s="97"/>
      <c r="G131" s="97"/>
      <c r="H131" s="97"/>
    </row>
    <row r="132" spans="1:8" ht="18">
      <c r="A132" s="247"/>
      <c r="B132" s="97"/>
      <c r="C132" s="97"/>
      <c r="D132" s="97"/>
      <c r="E132" s="97"/>
      <c r="F132" s="97"/>
      <c r="G132" s="97"/>
      <c r="H132" s="97"/>
    </row>
    <row r="133" spans="1:8" ht="18">
      <c r="A133" s="247" t="s">
        <v>172</v>
      </c>
      <c r="B133" s="97"/>
      <c r="C133" s="97"/>
      <c r="D133" s="97"/>
      <c r="E133" s="97"/>
      <c r="F133" s="97"/>
      <c r="G133" s="97"/>
      <c r="H133" s="97"/>
    </row>
    <row r="134" spans="1:8" ht="12.75">
      <c r="A134" s="97"/>
      <c r="B134" s="97"/>
      <c r="C134" s="97"/>
      <c r="D134" s="97"/>
      <c r="E134" s="97"/>
      <c r="F134" s="97"/>
      <c r="G134" s="97"/>
      <c r="H134" s="97"/>
    </row>
    <row r="135" spans="1:8" ht="12.75">
      <c r="A135" s="97"/>
      <c r="B135" s="97"/>
      <c r="C135" s="97"/>
      <c r="D135" s="97"/>
      <c r="E135" s="97"/>
      <c r="F135" s="97"/>
      <c r="G135" s="97"/>
      <c r="H135" s="97"/>
    </row>
    <row r="136" spans="1:8" ht="12.75">
      <c r="A136" s="97"/>
      <c r="B136" s="97"/>
      <c r="C136" s="97"/>
      <c r="D136" s="97"/>
      <c r="E136" s="97"/>
      <c r="F136" s="97"/>
      <c r="G136" s="97"/>
      <c r="H136" s="97"/>
    </row>
  </sheetData>
  <sheetProtection/>
  <mergeCells count="25">
    <mergeCell ref="F85:H86"/>
    <mergeCell ref="A21:F21"/>
    <mergeCell ref="A22:F22"/>
    <mergeCell ref="A33:H33"/>
    <mergeCell ref="A50:G50"/>
    <mergeCell ref="A52:G52"/>
    <mergeCell ref="A63:G63"/>
    <mergeCell ref="A23:F23"/>
    <mergeCell ref="A20:F20"/>
    <mergeCell ref="A1:H1"/>
    <mergeCell ref="A2:H2"/>
    <mergeCell ref="A3:H3"/>
    <mergeCell ref="A4:H4"/>
    <mergeCell ref="A11:F11"/>
    <mergeCell ref="A14:F14"/>
    <mergeCell ref="A15:F15"/>
    <mergeCell ref="B7:C7"/>
    <mergeCell ref="B17:G17"/>
    <mergeCell ref="B8:C8"/>
    <mergeCell ref="B10:C10"/>
    <mergeCell ref="B12:C12"/>
    <mergeCell ref="B13:C13"/>
    <mergeCell ref="A16:F16"/>
    <mergeCell ref="A19:F19"/>
    <mergeCell ref="A18:F18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25">
      <selection activeCell="A110" sqref="A11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279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15</v>
      </c>
      <c r="C8" s="321"/>
      <c r="D8" s="104"/>
      <c r="E8" s="104"/>
      <c r="F8" s="104"/>
      <c r="G8" s="105">
        <f>SUM(B8:F8)</f>
        <v>15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8" ht="15.75">
      <c r="A10" s="101" t="s">
        <v>218</v>
      </c>
      <c r="B10" s="322">
        <v>97.5</v>
      </c>
      <c r="C10" s="323"/>
      <c r="D10" s="108"/>
      <c r="E10" s="108"/>
      <c r="F10" s="108"/>
      <c r="G10" s="109">
        <f>SUM(B10:F10)</f>
        <v>97.5</v>
      </c>
      <c r="H10" s="305">
        <f>G10/G13</f>
        <v>21.666666666666668</v>
      </c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97.5</v>
      </c>
      <c r="H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289</v>
      </c>
      <c r="C12" s="325"/>
      <c r="D12" s="102" t="s">
        <v>281</v>
      </c>
      <c r="E12" s="303" t="s">
        <v>254</v>
      </c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55/60+1</f>
        <v>1.9166666666666665</v>
      </c>
      <c r="C13" s="325"/>
      <c r="D13" s="102">
        <f>35/60+1</f>
        <v>1.5833333333333335</v>
      </c>
      <c r="E13" s="108">
        <f>60/60</f>
        <v>1</v>
      </c>
      <c r="F13" s="113">
        <f>F10/20</f>
        <v>0</v>
      </c>
      <c r="G13" s="109">
        <f>SUM(B13:F13)</f>
        <v>4.5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8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270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107000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5.05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4.5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1950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2188.3333333333335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975</v>
      </c>
      <c r="C27" s="120"/>
      <c r="D27" s="267" t="s">
        <v>196</v>
      </c>
      <c r="E27" s="268" t="s">
        <v>2</v>
      </c>
      <c r="F27" s="269">
        <v>4</v>
      </c>
      <c r="G27" s="270">
        <v>1273</v>
      </c>
      <c r="H27" s="271">
        <f>F27*G27</f>
        <v>5092</v>
      </c>
      <c r="I27" s="103"/>
    </row>
    <row r="28" spans="1:9" ht="15.75">
      <c r="A28" s="112" t="str">
        <f>D25</f>
        <v>1.3 Pneus</v>
      </c>
      <c r="B28" s="287">
        <f>H31</f>
        <v>211.8675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8</v>
      </c>
      <c r="G29" s="270">
        <v>450</v>
      </c>
      <c r="H29" s="271">
        <f>F29*G29</f>
        <v>3600</v>
      </c>
      <c r="I29" s="103"/>
    </row>
    <row r="30" spans="1:9" ht="15.75">
      <c r="A30" s="102" t="s">
        <v>117</v>
      </c>
      <c r="B30" s="124">
        <f>SUM(B26:B29)</f>
        <v>3375.2008333333333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8692</v>
      </c>
      <c r="H30" s="276">
        <f>_xlfn.IFERROR(G30/F30,"-")</f>
        <v>0.10865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1950</v>
      </c>
      <c r="G31" s="276">
        <f>H30</f>
        <v>0.10865</v>
      </c>
      <c r="H31" s="286">
        <f>_xlfn.IFERROR(F31*G31,0)</f>
        <v>211.8675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14712.500000000002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2321.75</v>
      </c>
      <c r="E35" s="309">
        <f>'Encargos Sociais'!C38</f>
        <v>0.352117</v>
      </c>
      <c r="F35" s="132">
        <f>(D35*E35)+D35</f>
        <v>3139.27764475</v>
      </c>
      <c r="G35" s="136">
        <v>10</v>
      </c>
      <c r="H35" s="110">
        <f>F35*G35</f>
        <v>31392.7764475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5045.406666666667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36851.016447500006</v>
      </c>
      <c r="I40" s="97"/>
    </row>
    <row r="41" spans="1:9" ht="15.75" thickBot="1">
      <c r="A41" s="123" t="s">
        <v>132</v>
      </c>
      <c r="B41" s="133">
        <f>H40*B40</f>
        <v>36851.016447500006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59703.02311416667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5427.547555833334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0.9090909090909091</v>
      </c>
      <c r="C44" s="125"/>
      <c r="D44" s="146" t="s">
        <v>134</v>
      </c>
      <c r="E44" s="147" t="s">
        <v>2</v>
      </c>
      <c r="F44" s="148">
        <v>1</v>
      </c>
      <c r="G44" s="149">
        <f>G18</f>
        <v>107000</v>
      </c>
      <c r="H44" s="150">
        <f>F44*G44</f>
        <v>107000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107000</v>
      </c>
      <c r="H47" s="155">
        <f>F47*G47/100</f>
        <v>75681.1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75681.1</v>
      </c>
      <c r="H48" s="164">
        <f>_xlfn.IFERROR(G48/F48,0)*12</f>
        <v>5045.406666666667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8802.748389166667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8802.748389166667</v>
      </c>
      <c r="F54" s="150">
        <f>D54*E54/1</f>
        <v>2425.157181215417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2425.157181215417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2425.157181215417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11227.905570382085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5.757900292503633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3375.2008333333333</v>
      </c>
      <c r="G65" s="203">
        <f>F65/$F$74</f>
        <v>0.30060823117685653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2188.3333333333335</v>
      </c>
      <c r="G66" s="207">
        <f aca="true" t="shared" si="0" ref="G66:G72">F66/$F$74</f>
        <v>0.19490129477984777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975</v>
      </c>
      <c r="G67" s="207">
        <f t="shared" si="0"/>
        <v>0.08683721054547672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211.8675</v>
      </c>
      <c r="G68" s="207">
        <f t="shared" si="0"/>
        <v>0.018869725851532092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5427.547555833334</v>
      </c>
      <c r="G69" s="203">
        <f t="shared" si="0"/>
        <v>0.4833980408733198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5427.547555833334</v>
      </c>
      <c r="G70" s="207">
        <f>F70/$F$74</f>
        <v>0.4833980408733198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8802.748389166667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2425.157181215417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11227.905570382085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97.5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1950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5.757900292503633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283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220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97.5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5.757900292503633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282</v>
      </c>
      <c r="B94" s="247" t="str">
        <f>B17</f>
        <v>Veículo no mínimo de 15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4.5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8:C8"/>
    <mergeCell ref="B7:C7"/>
    <mergeCell ref="B10:C10"/>
    <mergeCell ref="B12:C12"/>
    <mergeCell ref="B13:C13"/>
    <mergeCell ref="A18:F18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284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85</v>
      </c>
      <c r="C8" s="321"/>
      <c r="D8" s="104"/>
      <c r="E8" s="104"/>
      <c r="F8" s="104"/>
      <c r="G8" s="105">
        <f>SUM(B8:F8)</f>
        <v>85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78</v>
      </c>
      <c r="C10" s="323"/>
      <c r="D10" s="108"/>
      <c r="E10" s="108"/>
      <c r="F10" s="108"/>
      <c r="G10" s="109">
        <f>SUM(B10:F10)</f>
        <v>78</v>
      </c>
      <c r="H10" s="305">
        <f>G10/G13</f>
        <v>28.363636363636363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78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251</v>
      </c>
      <c r="C12" s="325"/>
      <c r="D12" s="102" t="s">
        <v>285</v>
      </c>
      <c r="E12" s="303" t="s">
        <v>251</v>
      </c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40/60+0</f>
        <v>0.6666666666666666</v>
      </c>
      <c r="C13" s="325"/>
      <c r="D13" s="102">
        <f>25/60+1</f>
        <v>1.4166666666666667</v>
      </c>
      <c r="E13" s="108">
        <f>40/60+0</f>
        <v>0.6666666666666666</v>
      </c>
      <c r="F13" s="113"/>
      <c r="G13" s="109">
        <f>SUM(B13:F13)</f>
        <v>2.75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6.25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266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124000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3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0.6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1560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3322.7999999999997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936</v>
      </c>
      <c r="C27" s="120"/>
      <c r="D27" s="267" t="s">
        <v>196</v>
      </c>
      <c r="E27" s="268" t="s">
        <v>2</v>
      </c>
      <c r="F27" s="269">
        <v>6</v>
      </c>
      <c r="G27" s="270">
        <v>2600</v>
      </c>
      <c r="H27" s="271">
        <f>F27*G27</f>
        <v>15600</v>
      </c>
      <c r="I27" s="103"/>
    </row>
    <row r="28" spans="1:9" ht="15.75">
      <c r="A28" s="112" t="str">
        <f>D25</f>
        <v>1.3 Pneus</v>
      </c>
      <c r="B28" s="287">
        <f>H31</f>
        <v>456.29999999999995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650</v>
      </c>
      <c r="H29" s="271">
        <f>F29*G29</f>
        <v>7800</v>
      </c>
      <c r="I29" s="103"/>
    </row>
    <row r="30" spans="1:9" ht="15.75">
      <c r="A30" s="102" t="s">
        <v>117</v>
      </c>
      <c r="B30" s="124">
        <f>SUM(B26:B29)</f>
        <v>4715.099999999999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23400</v>
      </c>
      <c r="H30" s="276">
        <f>_xlfn.IFERROR(G30/F30,"-")</f>
        <v>0.2925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1560</v>
      </c>
      <c r="G31" s="276">
        <f>H30</f>
        <v>0.2925</v>
      </c>
      <c r="H31" s="286">
        <f>_xlfn.IFERROR(F31*G31,0)</f>
        <v>456.29999999999995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17050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3263.97</v>
      </c>
      <c r="E35" s="309">
        <f>'Encargos Sociais'!C38</f>
        <v>0.352117</v>
      </c>
      <c r="F35" s="132">
        <f>(D35*E35)+D35</f>
        <v>4413.26932449</v>
      </c>
      <c r="G35" s="136">
        <v>10</v>
      </c>
      <c r="H35" s="110">
        <f>F35*G35</f>
        <v>44132.6932449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5847.013333333332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49590.93324490001</v>
      </c>
      <c r="I40" s="97"/>
    </row>
    <row r="41" spans="1:9" ht="15.75" thickBot="1">
      <c r="A41" s="123" t="s">
        <v>132</v>
      </c>
      <c r="B41" s="133">
        <f>H40*B40</f>
        <v>49590.93324490001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75582.04657823333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5368.043080840435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0.7102272727272727</v>
      </c>
      <c r="C44" s="125"/>
      <c r="D44" s="146" t="s">
        <v>134</v>
      </c>
      <c r="E44" s="147" t="s">
        <v>2</v>
      </c>
      <c r="F44" s="148">
        <v>1</v>
      </c>
      <c r="G44" s="149">
        <f>G18</f>
        <v>124000</v>
      </c>
      <c r="H44" s="150">
        <f>F44*G44</f>
        <v>124000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124000</v>
      </c>
      <c r="H47" s="155">
        <f>F47*G47/100</f>
        <v>87705.2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87705.2</v>
      </c>
      <c r="H48" s="164">
        <f>_xlfn.IFERROR(G48/F48,0)*12</f>
        <v>5847.013333333332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10083.143080840435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10083.143080840435</v>
      </c>
      <c r="F54" s="150">
        <f>D54*E54/1</f>
        <v>2777.90591877154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2777.90591877154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2777.90591877154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12861.048999611976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8.244262179238445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4715.099999999999</v>
      </c>
      <c r="G65" s="203">
        <f>F65/$F$74</f>
        <v>0.3666186172016183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3322.7999999999997</v>
      </c>
      <c r="G66" s="207">
        <f aca="true" t="shared" si="0" ref="G66:G72">F66/$F$74</f>
        <v>0.25836150691131415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936</v>
      </c>
      <c r="G67" s="207">
        <f t="shared" si="0"/>
        <v>0.07277788927079273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456.29999999999995</v>
      </c>
      <c r="G68" s="207">
        <f t="shared" si="0"/>
        <v>0.03547922101951145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5368.043080840435</v>
      </c>
      <c r="G69" s="203">
        <f t="shared" si="0"/>
        <v>0.417387654848558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5368.043080840435</v>
      </c>
      <c r="G70" s="207">
        <f>F70/$F$74</f>
        <v>0.417387654848558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10083.143080840435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2777.90591877154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12861.048999611976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78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1560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8.244262179238445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228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78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8.244262179238445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250</v>
      </c>
      <c r="B94" s="247" t="str">
        <f>B17</f>
        <v>Veículo no mínimo de 45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3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10:C10"/>
    <mergeCell ref="B7:C7"/>
    <mergeCell ref="B8:C8"/>
    <mergeCell ref="B12:C12"/>
    <mergeCell ref="B13:C13"/>
    <mergeCell ref="A18:F18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A110" sqref="A110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</cols>
  <sheetData>
    <row r="1" spans="1:8" ht="16.5" thickBot="1">
      <c r="A1" s="332" t="s">
        <v>274</v>
      </c>
      <c r="B1" s="333"/>
      <c r="C1" s="333"/>
      <c r="D1" s="333"/>
      <c r="E1" s="333"/>
      <c r="F1" s="333"/>
      <c r="G1" s="333"/>
      <c r="H1" s="334"/>
    </row>
    <row r="2" spans="1:8" ht="16.5" thickBot="1">
      <c r="A2" s="310" t="s">
        <v>280</v>
      </c>
      <c r="B2" s="311"/>
      <c r="C2" s="311"/>
      <c r="D2" s="311"/>
      <c r="E2" s="311"/>
      <c r="F2" s="311"/>
      <c r="G2" s="311"/>
      <c r="H2" s="312"/>
    </row>
    <row r="3" spans="1:8" ht="16.5" thickBot="1">
      <c r="A3" s="332" t="s">
        <v>269</v>
      </c>
      <c r="B3" s="333"/>
      <c r="C3" s="333"/>
      <c r="D3" s="333"/>
      <c r="E3" s="333"/>
      <c r="F3" s="333"/>
      <c r="G3" s="333"/>
      <c r="H3" s="334"/>
    </row>
    <row r="4" spans="1:8" ht="15.75" thickBot="1">
      <c r="A4" s="335" t="s">
        <v>9</v>
      </c>
      <c r="B4" s="336"/>
      <c r="C4" s="336"/>
      <c r="D4" s="336"/>
      <c r="E4" s="336"/>
      <c r="F4" s="336"/>
      <c r="G4" s="336"/>
      <c r="H4" s="337"/>
    </row>
    <row r="5" spans="1:8" ht="8.25" customHeight="1">
      <c r="A5" s="99"/>
      <c r="B5" s="99"/>
      <c r="C5" s="99"/>
      <c r="D5" s="99"/>
      <c r="E5" s="99"/>
      <c r="F5" s="99"/>
      <c r="G5" s="99"/>
      <c r="H5" s="96"/>
    </row>
    <row r="6" spans="1:8" ht="15.75">
      <c r="A6" s="100" t="s">
        <v>225</v>
      </c>
      <c r="B6" s="96"/>
      <c r="C6" s="96"/>
      <c r="D6" s="96"/>
      <c r="E6" s="96"/>
      <c r="F6" s="96"/>
      <c r="G6" s="96"/>
      <c r="H6" s="96"/>
    </row>
    <row r="7" spans="1:8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</row>
    <row r="8" spans="1:8" ht="15.75">
      <c r="A8" s="101" t="s">
        <v>106</v>
      </c>
      <c r="B8" s="320">
        <v>11</v>
      </c>
      <c r="C8" s="321"/>
      <c r="D8" s="104"/>
      <c r="E8" s="104"/>
      <c r="F8" s="104"/>
      <c r="G8" s="105">
        <f>SUM(B8:F8)</f>
        <v>11</v>
      </c>
      <c r="H8" s="103"/>
    </row>
    <row r="9" spans="1:8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</row>
    <row r="10" spans="1:8" ht="15.75">
      <c r="A10" s="101" t="s">
        <v>218</v>
      </c>
      <c r="B10" s="322">
        <v>92</v>
      </c>
      <c r="C10" s="323"/>
      <c r="D10" s="108"/>
      <c r="E10" s="108"/>
      <c r="F10" s="108"/>
      <c r="G10" s="109">
        <f>SUM(B10:F10)</f>
        <v>92</v>
      </c>
      <c r="H10" s="305">
        <f>G10/G13</f>
        <v>38.068965517241374</v>
      </c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92</v>
      </c>
      <c r="H11" s="103"/>
      <c r="J11" s="302"/>
      <c r="K11" s="302"/>
      <c r="L11" s="302"/>
      <c r="M11" s="302"/>
    </row>
    <row r="12" spans="1:13" ht="15.75">
      <c r="A12" s="258" t="s">
        <v>109</v>
      </c>
      <c r="B12" s="324" t="s">
        <v>286</v>
      </c>
      <c r="C12" s="325"/>
      <c r="D12" s="102" t="s">
        <v>287</v>
      </c>
      <c r="E12" s="303"/>
      <c r="F12" s="111"/>
      <c r="G12" s="112" t="s">
        <v>110</v>
      </c>
      <c r="H12" s="103"/>
      <c r="J12" s="302"/>
      <c r="K12" s="302"/>
      <c r="L12" s="302"/>
      <c r="M12" s="302"/>
    </row>
    <row r="13" spans="1:8" ht="15.75">
      <c r="A13" s="258" t="s">
        <v>111</v>
      </c>
      <c r="B13" s="324">
        <f>10/60+1</f>
        <v>1.1666666666666667</v>
      </c>
      <c r="C13" s="325"/>
      <c r="D13" s="102">
        <f>15/60+1</f>
        <v>1.25</v>
      </c>
      <c r="E13" s="108">
        <f>E10/20</f>
        <v>0</v>
      </c>
      <c r="F13" s="113">
        <f>F10/20</f>
        <v>0</v>
      </c>
      <c r="G13" s="109">
        <f>SUM(B13:F13)</f>
        <v>2.416666666666667</v>
      </c>
      <c r="H13" s="114"/>
    </row>
    <row r="14" spans="1:8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</row>
    <row r="15" spans="1:8" ht="15.75">
      <c r="A15" s="326" t="s">
        <v>112</v>
      </c>
      <c r="B15" s="327"/>
      <c r="C15" s="327"/>
      <c r="D15" s="327"/>
      <c r="E15" s="327"/>
      <c r="F15" s="328"/>
      <c r="G15" s="110">
        <f>(G14+G13)</f>
        <v>4.416666666666667</v>
      </c>
      <c r="H15" s="115"/>
    </row>
    <row r="16" spans="1:8" ht="15.75">
      <c r="A16" s="326" t="s">
        <v>113</v>
      </c>
      <c r="B16" s="327"/>
      <c r="C16" s="327"/>
      <c r="D16" s="327"/>
      <c r="E16" s="327"/>
      <c r="F16" s="328"/>
      <c r="G16" s="116"/>
      <c r="H16" s="103"/>
    </row>
    <row r="17" spans="1:8" ht="15.75">
      <c r="A17" s="112" t="s">
        <v>114</v>
      </c>
      <c r="B17" s="338" t="s">
        <v>270</v>
      </c>
      <c r="C17" s="339"/>
      <c r="D17" s="339"/>
      <c r="E17" s="339"/>
      <c r="F17" s="339"/>
      <c r="G17" s="340"/>
      <c r="H17" s="103"/>
    </row>
    <row r="18" spans="1:8" ht="15.75">
      <c r="A18" s="329" t="s">
        <v>278</v>
      </c>
      <c r="B18" s="330"/>
      <c r="C18" s="330"/>
      <c r="D18" s="330"/>
      <c r="E18" s="330"/>
      <c r="F18" s="331"/>
      <c r="G18" s="265">
        <v>107000</v>
      </c>
      <c r="H18" s="103"/>
    </row>
    <row r="19" spans="1:8" ht="15.75">
      <c r="A19" s="326" t="s">
        <v>205</v>
      </c>
      <c r="B19" s="327"/>
      <c r="C19" s="327"/>
      <c r="D19" s="327"/>
      <c r="E19" s="327"/>
      <c r="F19" s="328"/>
      <c r="G19" s="266">
        <v>5.05</v>
      </c>
      <c r="H19" s="103"/>
    </row>
    <row r="20" spans="1:8" ht="15.75">
      <c r="A20" s="326" t="s">
        <v>211</v>
      </c>
      <c r="B20" s="327"/>
      <c r="C20" s="327"/>
      <c r="D20" s="327"/>
      <c r="E20" s="327"/>
      <c r="F20" s="328"/>
      <c r="G20" s="266">
        <v>4.5</v>
      </c>
      <c r="H20" s="103"/>
    </row>
    <row r="21" spans="1:8" ht="15.75">
      <c r="A21" s="326" t="s">
        <v>206</v>
      </c>
      <c r="B21" s="327"/>
      <c r="C21" s="327"/>
      <c r="D21" s="327"/>
      <c r="E21" s="327"/>
      <c r="F21" s="328"/>
      <c r="G21" s="266">
        <v>0.5</v>
      </c>
      <c r="H21" s="103"/>
    </row>
    <row r="22" spans="1:8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</row>
    <row r="23" spans="1:8" ht="15.75">
      <c r="A23" s="326" t="s">
        <v>195</v>
      </c>
      <c r="B23" s="327"/>
      <c r="C23" s="327"/>
      <c r="D23" s="327"/>
      <c r="E23" s="327"/>
      <c r="F23" s="328"/>
      <c r="G23" s="109">
        <f>G22*G11</f>
        <v>1840</v>
      </c>
      <c r="H23" s="103"/>
    </row>
    <row r="24" spans="1:8" ht="12.75" customHeight="1">
      <c r="A24" s="103"/>
      <c r="B24" s="103"/>
      <c r="C24" s="103"/>
      <c r="D24" s="103"/>
      <c r="E24" s="103"/>
      <c r="F24" s="103"/>
      <c r="G24" s="103"/>
      <c r="H24" s="103"/>
    </row>
    <row r="25" spans="1:8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</row>
    <row r="26" spans="1:8" ht="16.5" thickBot="1">
      <c r="A26" s="112" t="s">
        <v>202</v>
      </c>
      <c r="B26" s="287">
        <f>(G22*G11*G19)/G20</f>
        <v>2064.8888888888887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</row>
    <row r="27" spans="1:8" ht="15.75">
      <c r="A27" s="112" t="s">
        <v>203</v>
      </c>
      <c r="B27" s="287">
        <f>G21*G23</f>
        <v>920</v>
      </c>
      <c r="C27" s="120"/>
      <c r="D27" s="267" t="s">
        <v>196</v>
      </c>
      <c r="E27" s="268" t="s">
        <v>2</v>
      </c>
      <c r="F27" s="269">
        <v>4</v>
      </c>
      <c r="G27" s="270">
        <v>1273</v>
      </c>
      <c r="H27" s="271">
        <f>F27*G27</f>
        <v>5092</v>
      </c>
    </row>
    <row r="28" spans="1:8" ht="15.75">
      <c r="A28" s="112" t="str">
        <f>D25</f>
        <v>1.3 Pneus</v>
      </c>
      <c r="B28" s="287">
        <f>H31</f>
        <v>199.916</v>
      </c>
      <c r="C28" s="121"/>
      <c r="D28" s="267" t="s">
        <v>200</v>
      </c>
      <c r="E28" s="268" t="s">
        <v>2</v>
      </c>
      <c r="F28" s="285">
        <v>2</v>
      </c>
      <c r="G28" s="272"/>
      <c r="H28" s="271"/>
    </row>
    <row r="29" spans="1:8" ht="15.75">
      <c r="A29" s="102"/>
      <c r="B29" s="124"/>
      <c r="C29" s="125"/>
      <c r="D29" s="267" t="s">
        <v>197</v>
      </c>
      <c r="E29" s="268" t="s">
        <v>2</v>
      </c>
      <c r="F29" s="288">
        <f>F27*F28</f>
        <v>8</v>
      </c>
      <c r="G29" s="270">
        <v>450</v>
      </c>
      <c r="H29" s="271">
        <f>F29*G29</f>
        <v>3600</v>
      </c>
    </row>
    <row r="30" spans="1:8" ht="15.75">
      <c r="A30" s="102" t="s">
        <v>117</v>
      </c>
      <c r="B30" s="124">
        <f>SUM(B26:B29)</f>
        <v>3184.804888888889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8692</v>
      </c>
      <c r="H30" s="276">
        <f>_xlfn.IFERROR(G30/F30,"-")</f>
        <v>0.10865</v>
      </c>
    </row>
    <row r="31" spans="1:8" ht="15.75">
      <c r="A31" s="126"/>
      <c r="B31" s="125"/>
      <c r="C31" s="125"/>
      <c r="D31" s="273" t="s">
        <v>199</v>
      </c>
      <c r="E31" s="274" t="s">
        <v>3</v>
      </c>
      <c r="F31" s="277">
        <f>G23</f>
        <v>1840</v>
      </c>
      <c r="G31" s="276">
        <f>H30</f>
        <v>0.10865</v>
      </c>
      <c r="H31" s="286">
        <f>_xlfn.IFERROR(F31*G31,0)</f>
        <v>199.916</v>
      </c>
    </row>
    <row r="32" spans="1:8" ht="12" customHeight="1">
      <c r="A32" s="126"/>
      <c r="B32" s="127"/>
      <c r="C32" s="127"/>
      <c r="D32" s="103"/>
      <c r="E32" s="103"/>
      <c r="F32" s="103"/>
      <c r="G32" s="103"/>
      <c r="H32" s="103"/>
    </row>
    <row r="33" spans="1:8" ht="15.75">
      <c r="A33" s="342" t="s">
        <v>118</v>
      </c>
      <c r="B33" s="343"/>
      <c r="C33" s="343"/>
      <c r="D33" s="343"/>
      <c r="E33" s="343"/>
      <c r="F33" s="343"/>
      <c r="G33" s="343"/>
      <c r="H33" s="343"/>
    </row>
    <row r="34" spans="1:8" ht="15.75">
      <c r="A34" s="128" t="s">
        <v>312</v>
      </c>
      <c r="B34" s="307">
        <f>G44*0.1375</f>
        <v>14712.500000000002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</row>
    <row r="35" spans="1:8" ht="15.75">
      <c r="A35" s="123" t="s">
        <v>123</v>
      </c>
      <c r="B35" s="131">
        <v>0</v>
      </c>
      <c r="C35" s="129"/>
      <c r="D35" s="308">
        <v>2321.75</v>
      </c>
      <c r="E35" s="309">
        <f>'Encargos Sociais'!C38</f>
        <v>0.352117</v>
      </c>
      <c r="F35" s="132">
        <f>(D35*E35)+D35</f>
        <v>3139.27764475</v>
      </c>
      <c r="G35" s="136">
        <v>10</v>
      </c>
      <c r="H35" s="110">
        <f>F35*G35</f>
        <v>31392.7764475</v>
      </c>
    </row>
    <row r="36" spans="1:8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</row>
    <row r="37" spans="1:8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</row>
    <row r="38" spans="1:8" ht="15.75">
      <c r="A38" s="123" t="s">
        <v>127</v>
      </c>
      <c r="B38" s="131">
        <f>H48</f>
        <v>5045.406666666667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</row>
    <row r="39" spans="1:8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</row>
    <row r="40" spans="1:8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36851.016447500006</v>
      </c>
    </row>
    <row r="41" spans="1:8" ht="15.75" thickBot="1">
      <c r="A41" s="123" t="s">
        <v>132</v>
      </c>
      <c r="B41" s="133">
        <f>H40*B40</f>
        <v>36851.016447500006</v>
      </c>
      <c r="C41" s="129"/>
      <c r="D41" s="103"/>
      <c r="E41" s="259"/>
      <c r="F41" s="259"/>
      <c r="G41" s="259"/>
      <c r="H41" s="259"/>
    </row>
    <row r="42" spans="1:8" ht="16.5" thickBot="1">
      <c r="A42" s="112" t="s">
        <v>133</v>
      </c>
      <c r="B42" s="124">
        <f>SUM(B34:B39)+B41</f>
        <v>59703.02311416667</v>
      </c>
      <c r="C42" s="140"/>
      <c r="D42" s="141" t="s">
        <v>131</v>
      </c>
      <c r="E42" s="142"/>
      <c r="F42" s="142"/>
      <c r="G42" s="103"/>
      <c r="H42" s="103"/>
    </row>
    <row r="43" spans="1:8" ht="16.5" thickBot="1">
      <c r="A43" s="112" t="s">
        <v>135</v>
      </c>
      <c r="B43" s="124">
        <f>B42/10*B44</f>
        <v>2996.4585464496536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</row>
    <row r="44" spans="1:8" ht="15.75">
      <c r="A44" s="156" t="s">
        <v>136</v>
      </c>
      <c r="B44" s="157">
        <f>((G15*5)/44)</f>
        <v>0.5018939393939394</v>
      </c>
      <c r="C44" s="125"/>
      <c r="D44" s="146" t="s">
        <v>134</v>
      </c>
      <c r="E44" s="147" t="s">
        <v>2</v>
      </c>
      <c r="F44" s="148">
        <v>1</v>
      </c>
      <c r="G44" s="149">
        <f>G18</f>
        <v>107000</v>
      </c>
      <c r="H44" s="150">
        <f>F44*G44</f>
        <v>107000</v>
      </c>
    </row>
    <row r="45" spans="3:8" ht="15.75">
      <c r="C45" s="125"/>
      <c r="D45" s="151" t="s">
        <v>26</v>
      </c>
      <c r="E45" s="152" t="s">
        <v>27</v>
      </c>
      <c r="F45" s="153">
        <v>15</v>
      </c>
      <c r="G45" s="154"/>
      <c r="H45" s="155"/>
    </row>
    <row r="46" spans="3:8" ht="15.75">
      <c r="C46" s="158"/>
      <c r="D46" s="151" t="s">
        <v>87</v>
      </c>
      <c r="E46" s="152" t="s">
        <v>27</v>
      </c>
      <c r="F46" s="159">
        <v>0</v>
      </c>
      <c r="G46" s="155"/>
      <c r="H46" s="155"/>
    </row>
    <row r="47" spans="1:8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107000</v>
      </c>
      <c r="H47" s="155">
        <f>F47*G47/100</f>
        <v>75681.1</v>
      </c>
    </row>
    <row r="48" spans="1:8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75681.1</v>
      </c>
      <c r="H48" s="164">
        <f>_xlfn.IFERROR(G48/F48,0)*12</f>
        <v>5045.406666666667</v>
      </c>
    </row>
    <row r="49" spans="1:8" ht="15.75" thickTop="1">
      <c r="A49" s="121"/>
      <c r="B49" s="127"/>
      <c r="C49" s="127"/>
      <c r="D49" s="103"/>
      <c r="E49" s="103"/>
      <c r="F49" s="259"/>
      <c r="G49" s="259"/>
      <c r="H49" s="259"/>
    </row>
    <row r="50" spans="1:8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6181.263435338542</v>
      </c>
    </row>
    <row r="51" spans="1:8" ht="12.75">
      <c r="A51" s="166"/>
      <c r="B51" s="166"/>
      <c r="C51" s="166"/>
      <c r="D51" s="166"/>
      <c r="E51" s="166"/>
      <c r="F51" s="167"/>
      <c r="G51" s="167"/>
      <c r="H51" s="167"/>
    </row>
    <row r="52" spans="1:8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</row>
    <row r="53" spans="1:8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</row>
    <row r="54" spans="1:8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6181.263435338542</v>
      </c>
      <c r="F54" s="150">
        <f>D54*E54/1</f>
        <v>1702.9380764357684</v>
      </c>
      <c r="G54" s="176"/>
      <c r="H54" s="103"/>
    </row>
    <row r="55" spans="1:8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1702.9380764357684</v>
      </c>
      <c r="H55" s="103"/>
    </row>
    <row r="56" spans="1:8" ht="15.75" thickBot="1">
      <c r="A56" s="166"/>
      <c r="B56" s="166"/>
      <c r="C56" s="166"/>
      <c r="D56" s="182"/>
      <c r="E56" s="182"/>
      <c r="F56" s="176"/>
      <c r="G56" s="176"/>
      <c r="H56" s="176"/>
    </row>
    <row r="57" spans="1:8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1702.9380764357684</v>
      </c>
    </row>
    <row r="58" spans="1:8" ht="13.5" thickBot="1">
      <c r="A58" s="166"/>
      <c r="B58" s="166"/>
      <c r="C58" s="166"/>
      <c r="D58" s="166"/>
      <c r="E58" s="166"/>
      <c r="F58" s="167"/>
      <c r="G58" s="167"/>
      <c r="H58" s="167"/>
    </row>
    <row r="59" spans="1:8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7884.20151177431</v>
      </c>
    </row>
    <row r="60" spans="1:8" ht="15.75" thickBot="1">
      <c r="A60" s="121"/>
      <c r="B60" s="127"/>
      <c r="C60" s="127"/>
      <c r="D60" s="103"/>
      <c r="E60" s="103"/>
      <c r="F60" s="259"/>
      <c r="G60" s="259"/>
      <c r="H60" s="103"/>
    </row>
    <row r="61" spans="1:8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4.284892125964299</v>
      </c>
    </row>
    <row r="62" spans="1:8" ht="10.5" customHeight="1" thickBot="1">
      <c r="A62" s="103"/>
      <c r="B62" s="103"/>
      <c r="C62" s="103"/>
      <c r="D62" s="103"/>
      <c r="E62" s="103"/>
      <c r="F62" s="103"/>
      <c r="G62" s="103"/>
      <c r="H62" s="103"/>
    </row>
    <row r="63" spans="1:8" ht="18">
      <c r="A63" s="345" t="s">
        <v>83</v>
      </c>
      <c r="B63" s="346"/>
      <c r="C63" s="346"/>
      <c r="D63" s="346"/>
      <c r="E63" s="346"/>
      <c r="F63" s="347"/>
      <c r="G63" s="348"/>
      <c r="H63" s="103"/>
    </row>
    <row r="64" spans="1:8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</row>
    <row r="65" spans="1:8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3184.804888888889</v>
      </c>
      <c r="G65" s="203">
        <f>F65/$F$74</f>
        <v>0.4039476774068602</v>
      </c>
      <c r="H65" s="103"/>
    </row>
    <row r="66" spans="1:8" ht="18">
      <c r="A66" s="204" t="str">
        <f>A26</f>
        <v>1.1 Combustível </v>
      </c>
      <c r="B66" s="205"/>
      <c r="C66" s="205"/>
      <c r="D66" s="195"/>
      <c r="E66" s="206"/>
      <c r="F66" s="206">
        <f>B26</f>
        <v>2064.8888888888887</v>
      </c>
      <c r="G66" s="207">
        <f aca="true" t="shared" si="0" ref="G66:G72">F66/$F$74</f>
        <v>0.2619020944359644</v>
      </c>
      <c r="H66" s="103"/>
    </row>
    <row r="67" spans="1:8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920</v>
      </c>
      <c r="G67" s="207">
        <f t="shared" si="0"/>
        <v>0.1166890519764198</v>
      </c>
      <c r="H67" s="103"/>
    </row>
    <row r="68" spans="1:8" ht="18">
      <c r="A68" s="208" t="str">
        <f>A28</f>
        <v>1.3 Pneus</v>
      </c>
      <c r="B68" s="209"/>
      <c r="C68" s="209"/>
      <c r="D68" s="210"/>
      <c r="E68" s="211"/>
      <c r="F68" s="206">
        <f>B28</f>
        <v>199.916</v>
      </c>
      <c r="G68" s="207">
        <f t="shared" si="0"/>
        <v>0.02535653099447602</v>
      </c>
      <c r="H68" s="103"/>
    </row>
    <row r="69" spans="1:8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2996.4585464496536</v>
      </c>
      <c r="G69" s="203">
        <f t="shared" si="0"/>
        <v>0.3800585946433162</v>
      </c>
      <c r="H69" s="103"/>
    </row>
    <row r="70" spans="1:8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2996.4585464496536</v>
      </c>
      <c r="G70" s="207">
        <f>F70/$F$74</f>
        <v>0.3800585946433162</v>
      </c>
      <c r="H70" s="103"/>
    </row>
    <row r="71" spans="1:8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6181.263435338542</v>
      </c>
      <c r="G71" s="203">
        <f t="shared" si="0"/>
        <v>0.7840062720501764</v>
      </c>
      <c r="H71" s="103"/>
    </row>
    <row r="72" spans="1:8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1702.9380764357684</v>
      </c>
      <c r="G72" s="203">
        <f t="shared" si="0"/>
        <v>0.2159937279498236</v>
      </c>
      <c r="H72" s="103"/>
    </row>
    <row r="73" spans="1:8" ht="18.75" thickBot="1">
      <c r="A73" s="219"/>
      <c r="B73" s="220"/>
      <c r="C73" s="220"/>
      <c r="D73" s="221"/>
      <c r="E73" s="222"/>
      <c r="F73" s="223"/>
      <c r="G73" s="224"/>
      <c r="H73" s="103"/>
    </row>
    <row r="74" spans="1:8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7884.20151177431</v>
      </c>
      <c r="G74" s="228">
        <f>G71+G72</f>
        <v>1</v>
      </c>
      <c r="H74" s="103"/>
    </row>
    <row r="75" spans="1:8" ht="18">
      <c r="A75" s="229"/>
      <c r="B75" s="230"/>
      <c r="C75" s="230"/>
      <c r="D75" s="230"/>
      <c r="E75" s="230"/>
      <c r="F75" s="230"/>
      <c r="G75" s="231"/>
      <c r="H75" s="103"/>
    </row>
    <row r="76" spans="1:8" ht="18">
      <c r="A76" s="232" t="s">
        <v>146</v>
      </c>
      <c r="B76" s="233"/>
      <c r="C76" s="233"/>
      <c r="D76" s="233"/>
      <c r="E76" s="233"/>
      <c r="F76" s="233"/>
      <c r="G76" s="234">
        <f>G11</f>
        <v>92</v>
      </c>
      <c r="H76" s="103"/>
    </row>
    <row r="77" spans="1:8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1840</v>
      </c>
      <c r="H78" s="103"/>
    </row>
    <row r="79" spans="1:8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4.284892125964299</v>
      </c>
      <c r="H79" s="103"/>
    </row>
    <row r="80" spans="1:8" ht="15">
      <c r="A80" s="103"/>
      <c r="B80" s="103"/>
      <c r="C80" s="103"/>
      <c r="D80" s="103"/>
      <c r="E80" s="103"/>
      <c r="F80" s="103"/>
      <c r="G80" s="103"/>
      <c r="H80" s="103"/>
    </row>
    <row r="81" spans="1:8" ht="18">
      <c r="A81" s="239" t="s">
        <v>229</v>
      </c>
      <c r="B81" s="103"/>
      <c r="C81" s="103"/>
      <c r="D81" s="103"/>
      <c r="E81" s="103"/>
      <c r="F81" s="103"/>
      <c r="G81" s="103"/>
      <c r="H81" s="103"/>
    </row>
    <row r="82" spans="1:8" ht="15.75">
      <c r="A82" s="240" t="s">
        <v>219</v>
      </c>
      <c r="B82" s="103"/>
      <c r="C82" s="103"/>
      <c r="D82" s="103"/>
      <c r="E82" s="103"/>
      <c r="F82" s="103"/>
      <c r="G82" s="103"/>
      <c r="H82" s="103"/>
    </row>
    <row r="83" spans="1:8" ht="15.75">
      <c r="A83" s="240" t="s">
        <v>150</v>
      </c>
      <c r="B83" s="241">
        <f>G11</f>
        <v>92</v>
      </c>
      <c r="C83" s="241"/>
      <c r="D83" s="242" t="s">
        <v>151</v>
      </c>
      <c r="E83" s="103"/>
      <c r="F83" s="103"/>
      <c r="G83" s="103"/>
      <c r="H83" s="103"/>
    </row>
    <row r="84" spans="1:8" ht="15.75">
      <c r="A84" s="240" t="s">
        <v>212</v>
      </c>
      <c r="B84" s="242"/>
      <c r="C84" s="242"/>
      <c r="D84" s="242"/>
      <c r="E84" s="103"/>
      <c r="F84" s="103"/>
      <c r="G84" s="103"/>
      <c r="H84" s="103"/>
    </row>
    <row r="85" spans="1:8" ht="15.75">
      <c r="A85" s="240" t="s">
        <v>152</v>
      </c>
      <c r="B85" s="243"/>
      <c r="C85" s="243"/>
      <c r="D85" s="244">
        <f>H61</f>
        <v>4.284892125964299</v>
      </c>
      <c r="E85" s="245"/>
      <c r="F85" s="341"/>
      <c r="G85" s="341"/>
      <c r="H85" s="341"/>
    </row>
    <row r="86" spans="1:8" ht="15.75">
      <c r="A86" s="240"/>
      <c r="B86" s="97"/>
      <c r="C86" s="97"/>
      <c r="D86" s="97"/>
      <c r="E86" s="97"/>
      <c r="F86" s="341"/>
      <c r="G86" s="341"/>
      <c r="H86" s="341"/>
    </row>
    <row r="87" spans="1:8" ht="18">
      <c r="A87" s="246" t="s">
        <v>153</v>
      </c>
      <c r="B87" s="97"/>
      <c r="C87" s="97"/>
      <c r="D87" s="97"/>
      <c r="E87" s="97"/>
      <c r="F87" s="97"/>
      <c r="G87" s="97"/>
      <c r="H87" s="97"/>
    </row>
    <row r="88" spans="1:8" ht="18">
      <c r="A88" s="247"/>
      <c r="B88" s="247"/>
      <c r="C88" s="247"/>
      <c r="D88" s="247"/>
      <c r="E88" s="247"/>
      <c r="F88" s="247"/>
      <c r="G88" s="247"/>
      <c r="H88" s="247"/>
    </row>
    <row r="89" spans="1:8" ht="18">
      <c r="A89" s="247" t="s">
        <v>154</v>
      </c>
      <c r="B89" s="247"/>
      <c r="C89" s="247"/>
      <c r="D89" s="247"/>
      <c r="E89" s="247"/>
      <c r="F89" s="247"/>
      <c r="G89" s="247"/>
      <c r="H89" s="247"/>
    </row>
    <row r="90" spans="1:8" ht="18">
      <c r="A90" s="247" t="s">
        <v>155</v>
      </c>
      <c r="B90" s="247"/>
      <c r="C90" s="247"/>
      <c r="D90" s="247"/>
      <c r="E90" s="247"/>
      <c r="F90" s="247"/>
      <c r="G90" s="247"/>
      <c r="H90" s="247"/>
    </row>
    <row r="91" spans="1:8" ht="18">
      <c r="A91" s="247" t="s">
        <v>156</v>
      </c>
      <c r="B91" s="247"/>
      <c r="C91" s="247"/>
      <c r="D91" s="247"/>
      <c r="E91" s="247"/>
      <c r="F91" s="247"/>
      <c r="G91" s="247"/>
      <c r="H91" s="247"/>
    </row>
    <row r="92" spans="1:8" ht="18">
      <c r="A92" s="247" t="s">
        <v>157</v>
      </c>
      <c r="B92" s="247"/>
      <c r="C92" s="247"/>
      <c r="D92" s="247"/>
      <c r="E92" s="247"/>
      <c r="F92" s="247"/>
      <c r="G92" s="247"/>
      <c r="H92" s="247"/>
    </row>
    <row r="93" spans="1:8" ht="18">
      <c r="A93" s="247" t="s">
        <v>158</v>
      </c>
      <c r="B93" s="247"/>
      <c r="C93" s="247"/>
      <c r="D93" s="247"/>
      <c r="E93" s="247"/>
      <c r="F93" s="247"/>
      <c r="G93" s="247"/>
      <c r="H93" s="247"/>
    </row>
    <row r="94" spans="1:8" ht="18">
      <c r="A94" s="247" t="s">
        <v>282</v>
      </c>
      <c r="B94" s="247" t="str">
        <f>B17</f>
        <v>Veículo no mínimo de 15 lugares</v>
      </c>
      <c r="C94" s="247"/>
      <c r="D94" s="247"/>
      <c r="E94" s="247"/>
      <c r="F94" s="247"/>
      <c r="G94" s="247"/>
      <c r="H94" s="247"/>
    </row>
    <row r="95" spans="1:8" ht="18">
      <c r="A95" s="247" t="s">
        <v>187</v>
      </c>
      <c r="B95" s="247"/>
      <c r="C95" s="247"/>
      <c r="D95" s="247"/>
      <c r="E95" s="247"/>
      <c r="F95" s="247"/>
      <c r="G95" s="247"/>
      <c r="H95" s="247"/>
    </row>
    <row r="96" spans="1:8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</row>
    <row r="97" spans="1:8" ht="18">
      <c r="A97" s="247" t="s">
        <v>204</v>
      </c>
      <c r="B97" s="247"/>
      <c r="C97" s="247"/>
      <c r="D97" s="247"/>
      <c r="E97" s="247"/>
      <c r="F97" s="247"/>
      <c r="G97" s="247"/>
      <c r="H97" s="247"/>
    </row>
    <row r="98" spans="1:8" ht="18">
      <c r="A98" s="247" t="s">
        <v>185</v>
      </c>
      <c r="B98" s="247"/>
      <c r="C98" s="247"/>
      <c r="D98" s="247"/>
      <c r="E98" s="247"/>
      <c r="F98" s="247"/>
      <c r="G98" s="247"/>
      <c r="H98" s="247"/>
    </row>
    <row r="99" spans="1:8" ht="18">
      <c r="A99" s="247" t="s">
        <v>258</v>
      </c>
      <c r="B99" s="247"/>
      <c r="C99" s="247">
        <f>G20</f>
        <v>4.5</v>
      </c>
      <c r="D99" s="247" t="s">
        <v>259</v>
      </c>
      <c r="E99" s="247" t="s">
        <v>257</v>
      </c>
      <c r="F99" s="247"/>
      <c r="G99" s="247"/>
      <c r="H99" s="247"/>
    </row>
    <row r="100" spans="1:8" ht="18">
      <c r="A100" s="247" t="s">
        <v>236</v>
      </c>
      <c r="B100" s="247"/>
      <c r="C100" s="247"/>
      <c r="D100" s="247"/>
      <c r="E100" s="247"/>
      <c r="F100" s="247"/>
      <c r="G100" s="247"/>
      <c r="H100" s="247"/>
    </row>
    <row r="101" spans="1:8" ht="18">
      <c r="A101" s="247" t="s">
        <v>237</v>
      </c>
      <c r="B101" s="247"/>
      <c r="C101" s="247"/>
      <c r="D101" s="247"/>
      <c r="E101" s="247"/>
      <c r="F101" s="247"/>
      <c r="G101" s="247"/>
      <c r="H101" s="247"/>
    </row>
    <row r="102" spans="1:8" ht="18">
      <c r="A102" s="247" t="s">
        <v>207</v>
      </c>
      <c r="B102" s="247"/>
      <c r="C102" s="247"/>
      <c r="D102" s="247"/>
      <c r="E102" s="247"/>
      <c r="F102" s="247"/>
      <c r="G102" s="247"/>
      <c r="H102" s="247"/>
    </row>
    <row r="103" spans="1:8" ht="18">
      <c r="A103" s="247" t="s">
        <v>208</v>
      </c>
      <c r="B103" s="247"/>
      <c r="C103" s="247"/>
      <c r="D103" s="247"/>
      <c r="E103" s="247"/>
      <c r="F103" s="247"/>
      <c r="G103" s="247"/>
      <c r="H103" s="247"/>
    </row>
    <row r="104" spans="1:8" ht="18">
      <c r="A104" s="247" t="s">
        <v>247</v>
      </c>
      <c r="B104" s="247"/>
      <c r="C104" s="247"/>
      <c r="D104" s="247"/>
      <c r="E104" s="247"/>
      <c r="F104" s="247"/>
      <c r="G104" s="247"/>
      <c r="H104" s="247"/>
    </row>
    <row r="105" spans="1:8" ht="18">
      <c r="A105" s="247" t="s">
        <v>192</v>
      </c>
      <c r="B105" s="247"/>
      <c r="C105" s="247"/>
      <c r="D105" s="247"/>
      <c r="E105" s="247"/>
      <c r="F105" s="247"/>
      <c r="G105" s="247"/>
      <c r="H105" s="247"/>
    </row>
    <row r="106" spans="1:8" ht="18">
      <c r="A106" s="247" t="s">
        <v>160</v>
      </c>
      <c r="B106" s="247"/>
      <c r="C106" s="247"/>
      <c r="D106" s="247"/>
      <c r="E106" s="247"/>
      <c r="F106" s="247"/>
      <c r="G106" s="247"/>
      <c r="H106" s="247"/>
    </row>
    <row r="107" spans="1:8" ht="18">
      <c r="A107" s="247" t="s">
        <v>161</v>
      </c>
      <c r="B107" s="247"/>
      <c r="C107" s="247"/>
      <c r="D107" s="247"/>
      <c r="E107" s="247"/>
      <c r="F107" s="247"/>
      <c r="G107" s="247"/>
      <c r="H107" s="247"/>
    </row>
    <row r="108" spans="1:8" ht="18">
      <c r="A108" s="247" t="s">
        <v>188</v>
      </c>
      <c r="B108" s="247"/>
      <c r="C108" s="247"/>
      <c r="D108" s="247"/>
      <c r="E108" s="247"/>
      <c r="F108" s="247"/>
      <c r="G108" s="247"/>
      <c r="H108" s="247"/>
    </row>
    <row r="109" spans="1:8" ht="18">
      <c r="A109" s="247" t="s">
        <v>217</v>
      </c>
      <c r="B109" s="247"/>
      <c r="C109" s="247"/>
      <c r="D109" s="247"/>
      <c r="E109" s="247"/>
      <c r="F109" s="247"/>
      <c r="G109" s="247"/>
      <c r="H109" s="247"/>
    </row>
    <row r="110" spans="1:8" ht="18">
      <c r="A110" s="247" t="s">
        <v>317</v>
      </c>
      <c r="B110" s="247"/>
      <c r="C110" s="247"/>
      <c r="D110" s="247"/>
      <c r="E110" s="247"/>
      <c r="F110" s="247"/>
      <c r="G110" s="247"/>
      <c r="H110" s="247"/>
    </row>
    <row r="111" spans="1:8" ht="18">
      <c r="A111" s="247" t="s">
        <v>315</v>
      </c>
      <c r="B111" s="247"/>
      <c r="C111" s="247"/>
      <c r="D111" s="247"/>
      <c r="E111" s="247"/>
      <c r="F111" s="247"/>
      <c r="G111" s="247"/>
      <c r="H111" s="247"/>
    </row>
    <row r="112" spans="1:8" ht="18">
      <c r="A112" s="247" t="s">
        <v>316</v>
      </c>
      <c r="B112" s="247"/>
      <c r="C112" s="247"/>
      <c r="D112" s="247"/>
      <c r="E112" s="247"/>
      <c r="F112" s="247"/>
      <c r="G112" s="247"/>
      <c r="H112" s="247"/>
    </row>
    <row r="113" spans="1:8" ht="18">
      <c r="A113" s="247" t="s">
        <v>162</v>
      </c>
      <c r="B113" s="247"/>
      <c r="C113" s="247"/>
      <c r="D113" s="247"/>
      <c r="E113" s="247"/>
      <c r="F113" s="247"/>
      <c r="G113" s="247"/>
      <c r="H113" s="247"/>
    </row>
    <row r="114" spans="1:8" ht="18">
      <c r="A114" s="247" t="s">
        <v>248</v>
      </c>
      <c r="B114" s="247"/>
      <c r="C114" s="247"/>
      <c r="D114" s="247"/>
      <c r="E114" s="247"/>
      <c r="F114" s="247"/>
      <c r="G114" s="247"/>
      <c r="H114" s="247"/>
    </row>
    <row r="115" spans="1:8" ht="18">
      <c r="A115" s="247" t="s">
        <v>213</v>
      </c>
      <c r="B115" s="247"/>
      <c r="C115" s="247"/>
      <c r="D115" s="247"/>
      <c r="E115" s="247"/>
      <c r="F115" s="247"/>
      <c r="G115" s="247"/>
      <c r="H115" s="247"/>
    </row>
    <row r="116" spans="1:8" ht="18">
      <c r="A116" s="247" t="s">
        <v>163</v>
      </c>
      <c r="B116" s="247"/>
      <c r="C116" s="247"/>
      <c r="D116" s="247"/>
      <c r="E116" s="247"/>
      <c r="F116" s="247"/>
      <c r="G116" s="247"/>
      <c r="H116" s="247"/>
    </row>
    <row r="117" spans="1:8" ht="18">
      <c r="A117" s="247" t="s">
        <v>164</v>
      </c>
      <c r="B117" s="247"/>
      <c r="C117" s="247"/>
      <c r="D117" s="247"/>
      <c r="E117" s="247"/>
      <c r="F117" s="247"/>
      <c r="G117" s="247"/>
      <c r="H117" s="247"/>
    </row>
    <row r="118" spans="1:8" ht="18">
      <c r="A118" s="247" t="s">
        <v>165</v>
      </c>
      <c r="B118" s="247"/>
      <c r="C118" s="247"/>
      <c r="D118" s="247"/>
      <c r="E118" s="247"/>
      <c r="F118" s="247"/>
      <c r="G118" s="247"/>
      <c r="H118" s="247"/>
    </row>
    <row r="119" spans="1:8" ht="18">
      <c r="A119" s="247" t="s">
        <v>166</v>
      </c>
      <c r="B119" s="247"/>
      <c r="C119" s="247"/>
      <c r="D119" s="247"/>
      <c r="E119" s="247"/>
      <c r="F119" s="247"/>
      <c r="G119" s="247"/>
      <c r="H119" s="247"/>
    </row>
    <row r="120" spans="1:8" ht="18">
      <c r="A120" s="247" t="s">
        <v>209</v>
      </c>
      <c r="B120" s="247"/>
      <c r="C120" s="247"/>
      <c r="D120" s="247"/>
      <c r="E120" s="247"/>
      <c r="F120" s="247"/>
      <c r="G120" s="247"/>
      <c r="H120" s="247"/>
    </row>
    <row r="121" spans="1:8" ht="18">
      <c r="A121" s="247" t="s">
        <v>249</v>
      </c>
      <c r="B121" s="97"/>
      <c r="C121" s="97"/>
      <c r="D121" s="97"/>
      <c r="E121" s="97"/>
      <c r="F121" s="97"/>
      <c r="G121" s="97"/>
      <c r="H121" s="97"/>
    </row>
    <row r="122" spans="1:8" ht="18">
      <c r="A122" s="247" t="s">
        <v>214</v>
      </c>
      <c r="B122" s="97"/>
      <c r="C122" s="97"/>
      <c r="D122" s="97"/>
      <c r="E122" s="97"/>
      <c r="F122" s="97"/>
      <c r="G122" s="97"/>
      <c r="H122" s="97"/>
    </row>
    <row r="123" spans="1:8" ht="18">
      <c r="A123" s="247" t="s">
        <v>167</v>
      </c>
      <c r="B123" s="97"/>
      <c r="C123" s="97"/>
      <c r="D123" s="97"/>
      <c r="E123" s="97"/>
      <c r="F123" s="97"/>
      <c r="G123" s="97"/>
      <c r="H123" s="97"/>
    </row>
    <row r="124" spans="1:8" ht="18">
      <c r="A124" s="247" t="s">
        <v>168</v>
      </c>
      <c r="B124" s="97"/>
      <c r="C124" s="97"/>
      <c r="D124" s="97"/>
      <c r="E124" s="97"/>
      <c r="F124" s="97"/>
      <c r="G124" s="97"/>
      <c r="H124" s="97"/>
    </row>
    <row r="125" spans="1:8" ht="18">
      <c r="A125" s="247" t="s">
        <v>169</v>
      </c>
      <c r="B125" s="97"/>
      <c r="C125" s="97"/>
      <c r="D125" s="97"/>
      <c r="E125" s="97"/>
      <c r="F125" s="97"/>
      <c r="G125" s="97"/>
      <c r="H125" s="97"/>
    </row>
    <row r="126" spans="1:8" ht="18">
      <c r="A126" s="247" t="s">
        <v>170</v>
      </c>
      <c r="B126" s="97"/>
      <c r="C126" s="97"/>
      <c r="D126" s="97"/>
      <c r="E126" s="97"/>
      <c r="F126" s="97"/>
      <c r="G126" s="97"/>
      <c r="H126" s="97"/>
    </row>
    <row r="127" spans="1:8" ht="18">
      <c r="A127" s="247" t="s">
        <v>171</v>
      </c>
      <c r="B127" s="97"/>
      <c r="C127" s="97"/>
      <c r="D127" s="97"/>
      <c r="E127" s="97"/>
      <c r="F127" s="97"/>
      <c r="G127" s="97"/>
      <c r="H127" s="97"/>
    </row>
    <row r="128" spans="1:8" ht="18">
      <c r="A128" s="247" t="s">
        <v>216</v>
      </c>
      <c r="B128" s="97"/>
      <c r="C128" s="97"/>
      <c r="D128" s="97"/>
      <c r="E128" s="97"/>
      <c r="F128" s="97"/>
      <c r="G128" s="97"/>
      <c r="H128" s="97"/>
    </row>
    <row r="129" spans="1:8" ht="16.5">
      <c r="A129" s="248"/>
      <c r="B129" s="97"/>
      <c r="C129" s="97"/>
      <c r="D129" s="97"/>
      <c r="E129" s="97"/>
      <c r="F129" s="97"/>
      <c r="G129" s="97"/>
      <c r="H129" s="97"/>
    </row>
    <row r="130" spans="1:8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</row>
    <row r="131" spans="1:8" ht="18">
      <c r="A131" s="247"/>
      <c r="B131" s="97"/>
      <c r="C131" s="97"/>
      <c r="D131" s="97"/>
      <c r="E131" s="97"/>
      <c r="F131" s="97"/>
      <c r="G131" s="97"/>
      <c r="H131" s="97"/>
    </row>
    <row r="132" spans="1:8" ht="18">
      <c r="A132" s="247"/>
      <c r="B132" s="97"/>
      <c r="C132" s="97"/>
      <c r="D132" s="97"/>
      <c r="E132" s="97"/>
      <c r="F132" s="97"/>
      <c r="G132" s="97"/>
      <c r="H132" s="97"/>
    </row>
    <row r="133" spans="1:8" ht="18">
      <c r="A133" s="247" t="s">
        <v>172</v>
      </c>
      <c r="B133" s="97"/>
      <c r="C133" s="97"/>
      <c r="D133" s="97"/>
      <c r="E133" s="97"/>
      <c r="F133" s="97"/>
      <c r="G133" s="97"/>
      <c r="H133" s="97"/>
    </row>
    <row r="134" spans="1:8" ht="12.75">
      <c r="A134" s="97"/>
      <c r="B134" s="97"/>
      <c r="C134" s="97"/>
      <c r="D134" s="97"/>
      <c r="E134" s="97"/>
      <c r="F134" s="97"/>
      <c r="G134" s="97"/>
      <c r="H134" s="97"/>
    </row>
    <row r="135" spans="1:8" ht="12.75">
      <c r="A135" s="97"/>
      <c r="B135" s="97"/>
      <c r="C135" s="97"/>
      <c r="D135" s="97"/>
      <c r="E135" s="97"/>
      <c r="F135" s="97"/>
      <c r="G135" s="97"/>
      <c r="H135" s="97"/>
    </row>
    <row r="136" spans="1:8" ht="12.75">
      <c r="A136" s="97"/>
      <c r="B136" s="97"/>
      <c r="C136" s="97"/>
      <c r="D136" s="97"/>
      <c r="E136" s="97"/>
      <c r="F136" s="97"/>
      <c r="G136" s="97"/>
      <c r="H136" s="97"/>
    </row>
  </sheetData>
  <sheetProtection/>
  <mergeCells count="25">
    <mergeCell ref="A20:F20"/>
    <mergeCell ref="A1:H1"/>
    <mergeCell ref="A2:H2"/>
    <mergeCell ref="A3:H3"/>
    <mergeCell ref="A4:H4"/>
    <mergeCell ref="A11:F11"/>
    <mergeCell ref="A14:F14"/>
    <mergeCell ref="B10:C10"/>
    <mergeCell ref="B8:C8"/>
    <mergeCell ref="A18:F18"/>
    <mergeCell ref="A63:G63"/>
    <mergeCell ref="F85:H86"/>
    <mergeCell ref="A21:F21"/>
    <mergeCell ref="A22:F22"/>
    <mergeCell ref="A23:F23"/>
    <mergeCell ref="A33:H33"/>
    <mergeCell ref="A50:G50"/>
    <mergeCell ref="A52:G52"/>
    <mergeCell ref="A15:F15"/>
    <mergeCell ref="A16:F16"/>
    <mergeCell ref="B17:G17"/>
    <mergeCell ref="A19:F19"/>
    <mergeCell ref="B7:C7"/>
    <mergeCell ref="B13:C13"/>
    <mergeCell ref="B12:C1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B17" sqref="B17:G17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288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24</v>
      </c>
      <c r="C8" s="321"/>
      <c r="D8" s="104"/>
      <c r="E8" s="104"/>
      <c r="F8" s="104"/>
      <c r="G8" s="105">
        <f>SUM(B8:F8)</f>
        <v>24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92</v>
      </c>
      <c r="C10" s="323"/>
      <c r="D10" s="108"/>
      <c r="E10" s="108"/>
      <c r="F10" s="108"/>
      <c r="G10" s="109">
        <f>SUM(B10:F10)</f>
        <v>92</v>
      </c>
      <c r="H10" s="305">
        <f>G10/G13</f>
        <v>33.45454545454545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92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289</v>
      </c>
      <c r="C12" s="325"/>
      <c r="D12" s="102" t="s">
        <v>252</v>
      </c>
      <c r="E12" s="303"/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55/60+1</f>
        <v>1.9166666666666665</v>
      </c>
      <c r="C13" s="325"/>
      <c r="D13" s="102">
        <f>50/60+0</f>
        <v>0.8333333333333334</v>
      </c>
      <c r="E13" s="108">
        <f>E10/20</f>
        <v>0</v>
      </c>
      <c r="F13" s="113">
        <f>F10/20</f>
        <v>0</v>
      </c>
      <c r="G13" s="109">
        <f>SUM(B13:F13)</f>
        <v>2.75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2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4.75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268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115000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1840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2939.3999999999996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1012.0000000000001</v>
      </c>
      <c r="C27" s="120"/>
      <c r="D27" s="267" t="s">
        <v>196</v>
      </c>
      <c r="E27" s="268" t="s">
        <v>2</v>
      </c>
      <c r="F27" s="269">
        <v>6</v>
      </c>
      <c r="G27" s="270">
        <v>1500</v>
      </c>
      <c r="H27" s="271">
        <f>F27*G27</f>
        <v>9000</v>
      </c>
      <c r="I27" s="103"/>
    </row>
    <row r="28" spans="1:9" ht="15.75">
      <c r="A28" s="112" t="str">
        <f>D25</f>
        <v>1.3 Pneus</v>
      </c>
      <c r="B28" s="287">
        <f>H31</f>
        <v>331.2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450</v>
      </c>
      <c r="H29" s="271">
        <f>F29*G29</f>
        <v>5400</v>
      </c>
      <c r="I29" s="103"/>
    </row>
    <row r="30" spans="1:9" ht="15.75">
      <c r="A30" s="102" t="s">
        <v>117</v>
      </c>
      <c r="B30" s="124">
        <f>SUM(B26:B29)</f>
        <v>4282.599999999999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14400</v>
      </c>
      <c r="H30" s="276">
        <f>_xlfn.IFERROR(G30/F30,"-")</f>
        <v>0.18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1840</v>
      </c>
      <c r="G31" s="276">
        <f>H30</f>
        <v>0.18</v>
      </c>
      <c r="H31" s="286">
        <f>_xlfn.IFERROR(F31*G31,0)</f>
        <v>331.2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15812.500000000002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2772.62</v>
      </c>
      <c r="E35" s="309">
        <f>'Encargos Sociais'!C38</f>
        <v>0.352117</v>
      </c>
      <c r="F35" s="132">
        <f>(D35*E35)+D35</f>
        <v>3748.90663654</v>
      </c>
      <c r="G35" s="136">
        <v>10</v>
      </c>
      <c r="H35" s="110">
        <f>F35*G35</f>
        <v>37489.0663654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5422.633333333333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42947.30636540001</v>
      </c>
      <c r="I40" s="97"/>
    </row>
    <row r="41" spans="1:9" ht="15.75" thickBot="1">
      <c r="A41" s="123" t="s">
        <v>132</v>
      </c>
      <c r="B41" s="133">
        <f>H40*B40</f>
        <v>42947.30636540001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67276.53969873334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3631.40413146572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0.5397727272727273</v>
      </c>
      <c r="C44" s="125"/>
      <c r="D44" s="146" t="s">
        <v>134</v>
      </c>
      <c r="E44" s="147" t="s">
        <v>2</v>
      </c>
      <c r="F44" s="148">
        <v>1</v>
      </c>
      <c r="G44" s="149">
        <f>G18</f>
        <v>115000</v>
      </c>
      <c r="H44" s="150">
        <f>F44*G44</f>
        <v>115000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115000</v>
      </c>
      <c r="H47" s="155">
        <f>F47*G47/100</f>
        <v>81339.5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81339.5</v>
      </c>
      <c r="H48" s="164">
        <f>_xlfn.IFERROR(G48/F48,0)*12</f>
        <v>5422.633333333333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7914.004131465719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7914.004131465719</v>
      </c>
      <c r="F54" s="150">
        <f>D54*E54/1</f>
        <v>2180.3081382188057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2180.3081382188057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2180.3081382188057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10094.312269684524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5.486039277002459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4282.599999999999</v>
      </c>
      <c r="G65" s="203">
        <f>F65/$F$74</f>
        <v>0.42425871972096646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2939.3999999999996</v>
      </c>
      <c r="G66" s="207">
        <f aca="true" t="shared" si="0" ref="G66:G72">F66/$F$74</f>
        <v>0.29119368625316605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1012.0000000000001</v>
      </c>
      <c r="G67" s="207">
        <f t="shared" si="0"/>
        <v>0.10025447727026063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331.2</v>
      </c>
      <c r="G68" s="207">
        <f t="shared" si="0"/>
        <v>0.032810556197539836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3631.40413146572</v>
      </c>
      <c r="G69" s="203">
        <f t="shared" si="0"/>
        <v>0.35974755232921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3631.40413146572</v>
      </c>
      <c r="G70" s="207">
        <f>F70/$F$74</f>
        <v>0.35974755232921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7914.004131465719</v>
      </c>
      <c r="G71" s="203">
        <f t="shared" si="0"/>
        <v>0.7840062720501765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2180.3081382188057</v>
      </c>
      <c r="G72" s="203">
        <f t="shared" si="0"/>
        <v>0.21599372794982363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10094.312269684524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92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1840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5.486039277002459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261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92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5.486039277002459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260</v>
      </c>
      <c r="B94" s="247" t="str">
        <f>B17</f>
        <v>Veículo no mínimo de 26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238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239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20:F20"/>
    <mergeCell ref="A1:H1"/>
    <mergeCell ref="A2:H2"/>
    <mergeCell ref="A3:H3"/>
    <mergeCell ref="A4:H4"/>
    <mergeCell ref="A11:F11"/>
    <mergeCell ref="A14:F14"/>
    <mergeCell ref="B10:C10"/>
    <mergeCell ref="B8:C8"/>
    <mergeCell ref="A18:F18"/>
    <mergeCell ref="A63:G63"/>
    <mergeCell ref="F85:H86"/>
    <mergeCell ref="A21:F21"/>
    <mergeCell ref="A22:F22"/>
    <mergeCell ref="A23:F23"/>
    <mergeCell ref="A33:H33"/>
    <mergeCell ref="A50:G50"/>
    <mergeCell ref="A52:G52"/>
    <mergeCell ref="A15:F15"/>
    <mergeCell ref="A16:F16"/>
    <mergeCell ref="B17:G17"/>
    <mergeCell ref="A19:F19"/>
    <mergeCell ref="B7:C7"/>
    <mergeCell ref="B13:C13"/>
    <mergeCell ref="B12:C1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290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34</v>
      </c>
      <c r="C8" s="321"/>
      <c r="D8" s="104"/>
      <c r="E8" s="104"/>
      <c r="F8" s="104"/>
      <c r="G8" s="105">
        <f>SUM(B8:F8)</f>
        <v>34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169</v>
      </c>
      <c r="C10" s="323"/>
      <c r="D10" s="108"/>
      <c r="E10" s="108"/>
      <c r="F10" s="108"/>
      <c r="G10" s="109">
        <f>SUM(B10:F10)</f>
        <v>169</v>
      </c>
      <c r="H10" s="305">
        <f>G10/G13</f>
        <v>36.214285714285715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169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291</v>
      </c>
      <c r="C12" s="325"/>
      <c r="D12" s="102" t="s">
        <v>292</v>
      </c>
      <c r="E12" s="303" t="s">
        <v>286</v>
      </c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50/60+1</f>
        <v>1.8333333333333335</v>
      </c>
      <c r="C13" s="325"/>
      <c r="D13" s="102">
        <f>40/60+1</f>
        <v>1.6666666666666665</v>
      </c>
      <c r="E13" s="108">
        <f>10/60+1</f>
        <v>1.1666666666666667</v>
      </c>
      <c r="F13" s="113">
        <f>F10/20</f>
        <v>0</v>
      </c>
      <c r="G13" s="109">
        <f>SUM(B13:F13)</f>
        <v>4.666666666666667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8.166666666666668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270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107000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4.5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3380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4799.6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1690</v>
      </c>
      <c r="C27" s="120"/>
      <c r="D27" s="267" t="s">
        <v>196</v>
      </c>
      <c r="E27" s="268" t="s">
        <v>2</v>
      </c>
      <c r="F27" s="269">
        <v>4</v>
      </c>
      <c r="G27" s="270">
        <v>1273</v>
      </c>
      <c r="H27" s="271">
        <f>F27*G27</f>
        <v>5092</v>
      </c>
      <c r="I27" s="103"/>
    </row>
    <row r="28" spans="1:9" ht="15.75">
      <c r="A28" s="112" t="str">
        <f>D25</f>
        <v>1.3 Pneus</v>
      </c>
      <c r="B28" s="287">
        <f>H31</f>
        <v>367.23699999999997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8</v>
      </c>
      <c r="G29" s="270">
        <v>450</v>
      </c>
      <c r="H29" s="271">
        <f>F29*G29</f>
        <v>3600</v>
      </c>
      <c r="I29" s="103"/>
    </row>
    <row r="30" spans="1:9" ht="15.75">
      <c r="A30" s="102" t="s">
        <v>117</v>
      </c>
      <c r="B30" s="124">
        <f>SUM(B26:B29)</f>
        <v>6856.837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8692</v>
      </c>
      <c r="H30" s="276">
        <f>_xlfn.IFERROR(G30/F30,"-")</f>
        <v>0.10865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3380</v>
      </c>
      <c r="G31" s="276">
        <f>H30</f>
        <v>0.10865</v>
      </c>
      <c r="H31" s="286">
        <f>_xlfn.IFERROR(F31*G31,0)</f>
        <v>367.23699999999997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14712.500000000002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2321.75</v>
      </c>
      <c r="E35" s="309">
        <f>'Encargos Sociais'!C38</f>
        <v>0.352117</v>
      </c>
      <c r="F35" s="132">
        <f>(D35*E35)+D35</f>
        <v>3139.27764475</v>
      </c>
      <c r="G35" s="136">
        <v>10</v>
      </c>
      <c r="H35" s="110">
        <f>F35*G35</f>
        <v>31392.7764475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5045.406666666667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36851.016447500006</v>
      </c>
      <c r="I40" s="97"/>
    </row>
    <row r="41" spans="1:9" ht="15.75" thickBot="1">
      <c r="A41" s="123" t="s">
        <v>132</v>
      </c>
      <c r="B41" s="133">
        <f>H40*B40</f>
        <v>36851.016447500006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59703.02311416667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5540.621463246529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0.9280303030303032</v>
      </c>
      <c r="C44" s="125"/>
      <c r="D44" s="146" t="s">
        <v>134</v>
      </c>
      <c r="E44" s="147" t="s">
        <v>2</v>
      </c>
      <c r="F44" s="148">
        <v>1</v>
      </c>
      <c r="G44" s="149">
        <f>G18</f>
        <v>107000</v>
      </c>
      <c r="H44" s="150">
        <f>F44*G44</f>
        <v>107000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107000</v>
      </c>
      <c r="H47" s="155">
        <f>F47*G47/100</f>
        <v>75681.1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75681.1</v>
      </c>
      <c r="H48" s="164">
        <f>_xlfn.IFERROR(G48/F48,0)*12</f>
        <v>5045.406666666667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12397.45846324653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12397.45846324653</v>
      </c>
      <c r="F54" s="150">
        <f>D54*E54/1</f>
        <v>3415.4998066244193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3415.4998066244193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3415.4998066244193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15812.95826987095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4.678390020671879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6856.837</v>
      </c>
      <c r="G65" s="203">
        <f>F65/$F$74</f>
        <v>0.4336213934785752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4799.6</v>
      </c>
      <c r="G66" s="207">
        <f aca="true" t="shared" si="0" ref="G66:G72">F66/$F$74</f>
        <v>0.3035232192539752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1690</v>
      </c>
      <c r="G67" s="207">
        <f t="shared" si="0"/>
        <v>0.10687437297675183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367.23699999999997</v>
      </c>
      <c r="G68" s="207">
        <f t="shared" si="0"/>
        <v>0.023223801247848168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5540.621463246529</v>
      </c>
      <c r="G69" s="203">
        <f t="shared" si="0"/>
        <v>0.35038487857160117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5540.621463246529</v>
      </c>
      <c r="G70" s="207">
        <f>F70/$F$74</f>
        <v>0.35038487857160117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12397.45846324653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3415.4998066244193</v>
      </c>
      <c r="G72" s="203">
        <f t="shared" si="0"/>
        <v>0.2159937279498236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15812.95826987095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169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3380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4.678390020671879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293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169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4.678390020671879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294</v>
      </c>
      <c r="B94" s="247" t="str">
        <f>B17</f>
        <v>Veículo no mínimo de 15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4.5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20:F20"/>
    <mergeCell ref="A1:H1"/>
    <mergeCell ref="A2:H2"/>
    <mergeCell ref="A3:H3"/>
    <mergeCell ref="A4:H4"/>
    <mergeCell ref="A11:F11"/>
    <mergeCell ref="A14:F14"/>
    <mergeCell ref="B8:C8"/>
    <mergeCell ref="B7:C7"/>
    <mergeCell ref="A18:F18"/>
    <mergeCell ref="A63:G63"/>
    <mergeCell ref="F85:H86"/>
    <mergeCell ref="A21:F21"/>
    <mergeCell ref="A22:F22"/>
    <mergeCell ref="A23:F23"/>
    <mergeCell ref="A33:H33"/>
    <mergeCell ref="A50:G50"/>
    <mergeCell ref="A52:G52"/>
    <mergeCell ref="A15:F15"/>
    <mergeCell ref="A16:F16"/>
    <mergeCell ref="B17:G17"/>
    <mergeCell ref="A19:F19"/>
    <mergeCell ref="B10:C10"/>
    <mergeCell ref="B13:C13"/>
    <mergeCell ref="B12:C1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</cols>
  <sheetData>
    <row r="1" spans="1:8" ht="16.5" thickBot="1">
      <c r="A1" s="332" t="s">
        <v>274</v>
      </c>
      <c r="B1" s="333"/>
      <c r="C1" s="333"/>
      <c r="D1" s="333"/>
      <c r="E1" s="333"/>
      <c r="F1" s="333"/>
      <c r="G1" s="333"/>
      <c r="H1" s="334"/>
    </row>
    <row r="2" spans="1:8" ht="16.5" thickBot="1">
      <c r="A2" s="310" t="s">
        <v>306</v>
      </c>
      <c r="B2" s="311"/>
      <c r="C2" s="311"/>
      <c r="D2" s="311"/>
      <c r="E2" s="311"/>
      <c r="F2" s="311"/>
      <c r="G2" s="311"/>
      <c r="H2" s="312"/>
    </row>
    <row r="3" spans="1:8" ht="16.5" thickBot="1">
      <c r="A3" s="332" t="s">
        <v>269</v>
      </c>
      <c r="B3" s="333"/>
      <c r="C3" s="333"/>
      <c r="D3" s="333"/>
      <c r="E3" s="333"/>
      <c r="F3" s="333"/>
      <c r="G3" s="333"/>
      <c r="H3" s="334"/>
    </row>
    <row r="4" spans="1:8" ht="15.75" thickBot="1">
      <c r="A4" s="335" t="s">
        <v>9</v>
      </c>
      <c r="B4" s="336"/>
      <c r="C4" s="336"/>
      <c r="D4" s="336"/>
      <c r="E4" s="336"/>
      <c r="F4" s="336"/>
      <c r="G4" s="336"/>
      <c r="H4" s="337"/>
    </row>
    <row r="5" spans="1:8" ht="8.25" customHeight="1">
      <c r="A5" s="99"/>
      <c r="B5" s="99"/>
      <c r="C5" s="99"/>
      <c r="D5" s="99"/>
      <c r="E5" s="99"/>
      <c r="F5" s="99"/>
      <c r="G5" s="99"/>
      <c r="H5" s="96"/>
    </row>
    <row r="6" spans="1:8" ht="15.75">
      <c r="A6" s="100" t="s">
        <v>225</v>
      </c>
      <c r="B6" s="96"/>
      <c r="C6" s="96"/>
      <c r="D6" s="96"/>
      <c r="E6" s="96"/>
      <c r="F6" s="96"/>
      <c r="G6" s="96"/>
      <c r="H6" s="96"/>
    </row>
    <row r="7" spans="1:8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</row>
    <row r="8" spans="1:8" ht="15.75">
      <c r="A8" s="101" t="s">
        <v>106</v>
      </c>
      <c r="B8" s="320">
        <v>83</v>
      </c>
      <c r="C8" s="321"/>
      <c r="D8" s="104"/>
      <c r="E8" s="104"/>
      <c r="F8" s="104"/>
      <c r="G8" s="105">
        <f>SUM(B8:F8)</f>
        <v>83</v>
      </c>
      <c r="H8" s="103"/>
    </row>
    <row r="9" spans="1:8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</row>
    <row r="10" spans="1:8" ht="15.75">
      <c r="A10" s="101" t="s">
        <v>218</v>
      </c>
      <c r="B10" s="322">
        <v>80</v>
      </c>
      <c r="C10" s="323"/>
      <c r="D10" s="108"/>
      <c r="E10" s="108"/>
      <c r="F10" s="108"/>
      <c r="G10" s="109">
        <f>SUM(B10:F10)</f>
        <v>80</v>
      </c>
      <c r="H10" s="305">
        <f>G10/G13</f>
        <v>27.90697674418605</v>
      </c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80</v>
      </c>
      <c r="H11" s="103"/>
      <c r="J11" s="302"/>
      <c r="K11" s="302"/>
      <c r="L11" s="302"/>
      <c r="M11" s="302"/>
    </row>
    <row r="12" spans="1:8" ht="15.75">
      <c r="A12" s="258" t="s">
        <v>109</v>
      </c>
      <c r="B12" s="324" t="s">
        <v>255</v>
      </c>
      <c r="C12" s="325"/>
      <c r="D12" s="102" t="s">
        <v>253</v>
      </c>
      <c r="E12" s="303" t="s">
        <v>295</v>
      </c>
      <c r="F12" s="111"/>
      <c r="G12" s="112" t="s">
        <v>110</v>
      </c>
      <c r="H12" s="103"/>
    </row>
    <row r="13" spans="1:8" ht="15.75">
      <c r="A13" s="258" t="s">
        <v>111</v>
      </c>
      <c r="B13" s="324">
        <f>55/60+0</f>
        <v>0.9166666666666666</v>
      </c>
      <c r="C13" s="325"/>
      <c r="D13" s="102">
        <f>15/60+1</f>
        <v>1.25</v>
      </c>
      <c r="E13" s="108">
        <f>42/60+0</f>
        <v>0.7</v>
      </c>
      <c r="F13" s="113">
        <f>F10/20</f>
        <v>0</v>
      </c>
      <c r="G13" s="109">
        <f>SUM(B13:F13)</f>
        <v>2.8666666666666663</v>
      </c>
      <c r="H13" s="114"/>
    </row>
    <row r="14" spans="1:8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</row>
    <row r="15" spans="1:8" ht="15.75">
      <c r="A15" s="326" t="s">
        <v>112</v>
      </c>
      <c r="B15" s="327"/>
      <c r="C15" s="327"/>
      <c r="D15" s="327"/>
      <c r="E15" s="327"/>
      <c r="F15" s="328"/>
      <c r="G15" s="110">
        <f>(G14+G13)</f>
        <v>6.366666666666666</v>
      </c>
      <c r="H15" s="115"/>
    </row>
    <row r="16" spans="1:8" ht="15.75">
      <c r="A16" s="326" t="s">
        <v>113</v>
      </c>
      <c r="B16" s="327"/>
      <c r="C16" s="327"/>
      <c r="D16" s="327"/>
      <c r="E16" s="327"/>
      <c r="F16" s="328"/>
      <c r="G16" s="116"/>
      <c r="H16" s="103"/>
    </row>
    <row r="17" spans="1:8" ht="15.75">
      <c r="A17" s="112" t="s">
        <v>114</v>
      </c>
      <c r="B17" s="338" t="s">
        <v>271</v>
      </c>
      <c r="C17" s="339"/>
      <c r="D17" s="339"/>
      <c r="E17" s="339"/>
      <c r="F17" s="339"/>
      <c r="G17" s="340"/>
      <c r="H17" s="103"/>
    </row>
    <row r="18" spans="1:8" ht="15.75">
      <c r="A18" s="329" t="s">
        <v>278</v>
      </c>
      <c r="B18" s="330"/>
      <c r="C18" s="330"/>
      <c r="D18" s="330"/>
      <c r="E18" s="330"/>
      <c r="F18" s="331"/>
      <c r="G18" s="265">
        <v>124000</v>
      </c>
      <c r="H18" s="103"/>
    </row>
    <row r="19" spans="1:8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</row>
    <row r="20" spans="1:8" ht="15.75">
      <c r="A20" s="326" t="s">
        <v>211</v>
      </c>
      <c r="B20" s="327"/>
      <c r="C20" s="327"/>
      <c r="D20" s="327"/>
      <c r="E20" s="327"/>
      <c r="F20" s="328"/>
      <c r="G20" s="266">
        <v>3</v>
      </c>
      <c r="H20" s="103"/>
    </row>
    <row r="21" spans="1:8" ht="15.75">
      <c r="A21" s="326" t="s">
        <v>206</v>
      </c>
      <c r="B21" s="327"/>
      <c r="C21" s="327"/>
      <c r="D21" s="327"/>
      <c r="E21" s="327"/>
      <c r="F21" s="328"/>
      <c r="G21" s="266">
        <v>0.6</v>
      </c>
      <c r="H21" s="103"/>
    </row>
    <row r="22" spans="1:8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</row>
    <row r="23" spans="1:8" ht="15.75">
      <c r="A23" s="326" t="s">
        <v>195</v>
      </c>
      <c r="B23" s="327"/>
      <c r="C23" s="327"/>
      <c r="D23" s="327"/>
      <c r="E23" s="327"/>
      <c r="F23" s="328"/>
      <c r="G23" s="109">
        <f>G22*G11</f>
        <v>1600</v>
      </c>
      <c r="H23" s="103"/>
    </row>
    <row r="24" spans="1:8" ht="12.75" customHeight="1">
      <c r="A24" s="103"/>
      <c r="B24" s="103"/>
      <c r="C24" s="103"/>
      <c r="D24" s="103"/>
      <c r="E24" s="103"/>
      <c r="F24" s="103"/>
      <c r="G24" s="103"/>
      <c r="H24" s="103"/>
    </row>
    <row r="25" spans="1:8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</row>
    <row r="26" spans="1:8" ht="16.5" thickBot="1">
      <c r="A26" s="112" t="s">
        <v>202</v>
      </c>
      <c r="B26" s="287">
        <f>(G22*G11*G19)/G20</f>
        <v>3408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</row>
    <row r="27" spans="1:8" ht="15.75">
      <c r="A27" s="112" t="s">
        <v>203</v>
      </c>
      <c r="B27" s="287">
        <f>G21*G23</f>
        <v>960</v>
      </c>
      <c r="C27" s="120"/>
      <c r="D27" s="267" t="s">
        <v>196</v>
      </c>
      <c r="E27" s="268" t="s">
        <v>2</v>
      </c>
      <c r="F27" s="269">
        <v>6</v>
      </c>
      <c r="G27" s="270">
        <v>2600</v>
      </c>
      <c r="H27" s="271">
        <f>F27*G27</f>
        <v>15600</v>
      </c>
    </row>
    <row r="28" spans="1:8" ht="15.75">
      <c r="A28" s="112" t="str">
        <f>D25</f>
        <v>1.3 Pneus</v>
      </c>
      <c r="B28" s="287">
        <f>H31</f>
        <v>468</v>
      </c>
      <c r="C28" s="121"/>
      <c r="D28" s="267" t="s">
        <v>200</v>
      </c>
      <c r="E28" s="268" t="s">
        <v>2</v>
      </c>
      <c r="F28" s="285">
        <v>2</v>
      </c>
      <c r="G28" s="272"/>
      <c r="H28" s="271"/>
    </row>
    <row r="29" spans="1:8" ht="15.75">
      <c r="A29" s="102"/>
      <c r="B29" s="124"/>
      <c r="C29" s="125"/>
      <c r="D29" s="267" t="s">
        <v>197</v>
      </c>
      <c r="E29" s="268" t="s">
        <v>2</v>
      </c>
      <c r="F29" s="288">
        <f>F27*F28</f>
        <v>12</v>
      </c>
      <c r="G29" s="270">
        <v>650</v>
      </c>
      <c r="H29" s="271">
        <f>F29*G29</f>
        <v>7800</v>
      </c>
    </row>
    <row r="30" spans="1:8" ht="15.75">
      <c r="A30" s="102" t="s">
        <v>117</v>
      </c>
      <c r="B30" s="124">
        <f>SUM(B26:B29)</f>
        <v>4836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23400</v>
      </c>
      <c r="H30" s="276">
        <f>_xlfn.IFERROR(G30/F30,"-")</f>
        <v>0.2925</v>
      </c>
    </row>
    <row r="31" spans="1:8" ht="15.75">
      <c r="A31" s="126"/>
      <c r="B31" s="125"/>
      <c r="C31" s="125"/>
      <c r="D31" s="273" t="s">
        <v>199</v>
      </c>
      <c r="E31" s="274" t="s">
        <v>3</v>
      </c>
      <c r="F31" s="277">
        <f>G23</f>
        <v>1600</v>
      </c>
      <c r="G31" s="276">
        <f>H30</f>
        <v>0.2925</v>
      </c>
      <c r="H31" s="286">
        <f>_xlfn.IFERROR(F31*G31,0)</f>
        <v>468</v>
      </c>
    </row>
    <row r="32" spans="1:8" ht="12" customHeight="1">
      <c r="A32" s="126"/>
      <c r="B32" s="127"/>
      <c r="C32" s="127"/>
      <c r="D32" s="103"/>
      <c r="E32" s="103"/>
      <c r="F32" s="103"/>
      <c r="G32" s="103"/>
      <c r="H32" s="103"/>
    </row>
    <row r="33" spans="1:8" ht="15.75">
      <c r="A33" s="342" t="s">
        <v>118</v>
      </c>
      <c r="B33" s="343"/>
      <c r="C33" s="343"/>
      <c r="D33" s="343"/>
      <c r="E33" s="343"/>
      <c r="F33" s="343"/>
      <c r="G33" s="343"/>
      <c r="H33" s="343"/>
    </row>
    <row r="34" spans="1:8" ht="15.75">
      <c r="A34" s="128" t="s">
        <v>312</v>
      </c>
      <c r="B34" s="307">
        <f>G44*0.1375</f>
        <v>17050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</row>
    <row r="35" spans="1:8" ht="15.75">
      <c r="A35" s="123" t="s">
        <v>123</v>
      </c>
      <c r="B35" s="131">
        <v>0</v>
      </c>
      <c r="C35" s="129"/>
      <c r="D35" s="308">
        <v>3263.97</v>
      </c>
      <c r="E35" s="309">
        <f>'Encargos Sociais'!C38</f>
        <v>0.352117</v>
      </c>
      <c r="F35" s="132">
        <f>(D35*E35)+D35</f>
        <v>4413.26932449</v>
      </c>
      <c r="G35" s="136">
        <v>10</v>
      </c>
      <c r="H35" s="110">
        <f>F35*G35</f>
        <v>44132.6932449</v>
      </c>
    </row>
    <row r="36" spans="1:8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</row>
    <row r="37" spans="1:8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f>G22</f>
        <v>20</v>
      </c>
      <c r="F37" s="135">
        <f>D37*E37</f>
        <v>442.88000000000005</v>
      </c>
      <c r="G37" s="136">
        <v>10</v>
      </c>
      <c r="H37" s="110">
        <f>F37*G37</f>
        <v>4428.8</v>
      </c>
    </row>
    <row r="38" spans="1:8" ht="15.75">
      <c r="A38" s="123" t="s">
        <v>127</v>
      </c>
      <c r="B38" s="131">
        <f>H48</f>
        <v>5847.013333333332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</row>
    <row r="39" spans="1:8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</row>
    <row r="40" spans="1:8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49590.93324490001</v>
      </c>
    </row>
    <row r="41" spans="1:8" ht="15.75" thickBot="1">
      <c r="A41" s="123" t="s">
        <v>132</v>
      </c>
      <c r="B41" s="133">
        <f>H40*B40</f>
        <v>49590.93324490001</v>
      </c>
      <c r="C41" s="129"/>
      <c r="D41" s="103"/>
      <c r="E41" s="259"/>
      <c r="F41" s="259"/>
      <c r="G41" s="259"/>
      <c r="H41" s="259"/>
    </row>
    <row r="42" spans="1:8" ht="16.5" thickBot="1">
      <c r="A42" s="112" t="s">
        <v>133</v>
      </c>
      <c r="B42" s="124">
        <f>SUM(B34:B39)+B41</f>
        <v>75582.04657823333</v>
      </c>
      <c r="C42" s="140"/>
      <c r="D42" s="141" t="s">
        <v>131</v>
      </c>
      <c r="E42" s="142"/>
      <c r="F42" s="142"/>
      <c r="G42" s="103"/>
      <c r="H42" s="103"/>
    </row>
    <row r="43" spans="1:8" ht="16.5" thickBot="1">
      <c r="A43" s="112" t="s">
        <v>135</v>
      </c>
      <c r="B43" s="124">
        <f>B42/10*B44</f>
        <v>5468.246551682791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</row>
    <row r="44" spans="1:8" ht="15.75">
      <c r="A44" s="156" t="s">
        <v>136</v>
      </c>
      <c r="B44" s="157">
        <f>((G15*5)/44)</f>
        <v>0.7234848484848485</v>
      </c>
      <c r="C44" s="125"/>
      <c r="D44" s="146" t="s">
        <v>134</v>
      </c>
      <c r="E44" s="147" t="s">
        <v>2</v>
      </c>
      <c r="F44" s="148">
        <v>1</v>
      </c>
      <c r="G44" s="149">
        <f>G18</f>
        <v>124000</v>
      </c>
      <c r="H44" s="150">
        <f>F44*G44</f>
        <v>124000</v>
      </c>
    </row>
    <row r="45" spans="3:8" ht="15.75">
      <c r="C45" s="125"/>
      <c r="D45" s="151" t="s">
        <v>26</v>
      </c>
      <c r="E45" s="152" t="s">
        <v>27</v>
      </c>
      <c r="F45" s="153">
        <v>15</v>
      </c>
      <c r="G45" s="154"/>
      <c r="H45" s="155"/>
    </row>
    <row r="46" spans="3:8" ht="15.75">
      <c r="C46" s="158"/>
      <c r="D46" s="151" t="s">
        <v>87</v>
      </c>
      <c r="E46" s="152" t="s">
        <v>27</v>
      </c>
      <c r="F46" s="159">
        <v>0</v>
      </c>
      <c r="G46" s="155"/>
      <c r="H46" s="155"/>
    </row>
    <row r="47" spans="1:8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124000</v>
      </c>
      <c r="H47" s="155">
        <f>F47*G47/100</f>
        <v>87705.2</v>
      </c>
    </row>
    <row r="48" spans="1:8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87705.2</v>
      </c>
      <c r="H48" s="164">
        <f>_xlfn.IFERROR(G48/F48,0)*12</f>
        <v>5847.013333333332</v>
      </c>
    </row>
    <row r="49" spans="1:8" ht="15.75" thickTop="1">
      <c r="A49" s="121"/>
      <c r="B49" s="127"/>
      <c r="C49" s="127"/>
      <c r="D49" s="103"/>
      <c r="E49" s="103"/>
      <c r="F49" s="259"/>
      <c r="G49" s="259"/>
      <c r="H49" s="259"/>
    </row>
    <row r="50" spans="1:8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10304.24655168279</v>
      </c>
    </row>
    <row r="51" spans="1:8" ht="12.75">
      <c r="A51" s="166"/>
      <c r="B51" s="166"/>
      <c r="C51" s="166"/>
      <c r="D51" s="166"/>
      <c r="E51" s="166"/>
      <c r="F51" s="167"/>
      <c r="G51" s="167"/>
      <c r="H51" s="167"/>
    </row>
    <row r="52" spans="1:8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</row>
    <row r="53" spans="1:8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</row>
    <row r="54" spans="1:8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10304.24655168279</v>
      </c>
      <c r="F54" s="150">
        <f>D54*E54/1</f>
        <v>2838.819924988609</v>
      </c>
      <c r="G54" s="176"/>
      <c r="H54" s="103"/>
    </row>
    <row r="55" spans="1:8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2838.819924988609</v>
      </c>
      <c r="H55" s="103"/>
    </row>
    <row r="56" spans="1:8" ht="15.75" thickBot="1">
      <c r="A56" s="166"/>
      <c r="B56" s="166"/>
      <c r="C56" s="166"/>
      <c r="D56" s="182"/>
      <c r="E56" s="182"/>
      <c r="F56" s="176"/>
      <c r="G56" s="176"/>
      <c r="H56" s="176"/>
    </row>
    <row r="57" spans="1:8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2838.819924988609</v>
      </c>
    </row>
    <row r="58" spans="1:8" ht="13.5" thickBot="1">
      <c r="A58" s="166"/>
      <c r="B58" s="166"/>
      <c r="C58" s="166"/>
      <c r="D58" s="166"/>
      <c r="E58" s="166"/>
      <c r="F58" s="167"/>
      <c r="G58" s="167"/>
      <c r="H58" s="167"/>
    </row>
    <row r="59" spans="1:8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13143.0664766714</v>
      </c>
    </row>
    <row r="60" spans="1:8" ht="15.75" thickBot="1">
      <c r="A60" s="121"/>
      <c r="B60" s="127"/>
      <c r="C60" s="127"/>
      <c r="D60" s="103"/>
      <c r="E60" s="103"/>
      <c r="F60" s="259"/>
      <c r="G60" s="259"/>
      <c r="H60" s="103"/>
    </row>
    <row r="61" spans="1:8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8.214416547919624</v>
      </c>
    </row>
    <row r="62" spans="1:8" ht="10.5" customHeight="1" thickBot="1">
      <c r="A62" s="103"/>
      <c r="B62" s="103"/>
      <c r="C62" s="103"/>
      <c r="D62" s="103"/>
      <c r="E62" s="103"/>
      <c r="F62" s="103"/>
      <c r="G62" s="103"/>
      <c r="H62" s="103"/>
    </row>
    <row r="63" spans="1:8" ht="18">
      <c r="A63" s="345" t="s">
        <v>83</v>
      </c>
      <c r="B63" s="346"/>
      <c r="C63" s="346"/>
      <c r="D63" s="346"/>
      <c r="E63" s="346"/>
      <c r="F63" s="347"/>
      <c r="G63" s="348"/>
      <c r="H63" s="103"/>
    </row>
    <row r="64" spans="1:8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</row>
    <row r="65" spans="1:8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4836</v>
      </c>
      <c r="G65" s="203">
        <f>F65/$F$74</f>
        <v>0.36795066117817893</v>
      </c>
      <c r="H65" s="103"/>
    </row>
    <row r="66" spans="1:8" ht="18">
      <c r="A66" s="204" t="str">
        <f>A26</f>
        <v>1.1 Combustível </v>
      </c>
      <c r="B66" s="205"/>
      <c r="C66" s="205"/>
      <c r="D66" s="195"/>
      <c r="E66" s="206"/>
      <c r="F66" s="206">
        <f>B26</f>
        <v>3408</v>
      </c>
      <c r="G66" s="207">
        <f aca="true" t="shared" si="0" ref="G66:G72">F66/$F$74</f>
        <v>0.2593002178029846</v>
      </c>
      <c r="H66" s="103"/>
    </row>
    <row r="67" spans="1:8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960</v>
      </c>
      <c r="G67" s="207">
        <f t="shared" si="0"/>
        <v>0.07304231487408018</v>
      </c>
      <c r="H67" s="103"/>
    </row>
    <row r="68" spans="1:8" ht="18">
      <c r="A68" s="208" t="str">
        <f>A28</f>
        <v>1.3 Pneus</v>
      </c>
      <c r="B68" s="209"/>
      <c r="C68" s="209"/>
      <c r="D68" s="210"/>
      <c r="E68" s="211"/>
      <c r="F68" s="206">
        <f>B28</f>
        <v>468</v>
      </c>
      <c r="G68" s="207">
        <f t="shared" si="0"/>
        <v>0.03560812850111409</v>
      </c>
      <c r="H68" s="103"/>
    </row>
    <row r="69" spans="1:8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5468.246551682791</v>
      </c>
      <c r="G69" s="203">
        <f t="shared" si="0"/>
        <v>0.41605561087199744</v>
      </c>
      <c r="H69" s="103"/>
    </row>
    <row r="70" spans="1:8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5468.246551682791</v>
      </c>
      <c r="G70" s="207">
        <f>F70/$F$74</f>
        <v>0.41605561087199744</v>
      </c>
      <c r="H70" s="103"/>
    </row>
    <row r="71" spans="1:8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10304.24655168279</v>
      </c>
      <c r="G71" s="203">
        <f t="shared" si="0"/>
        <v>0.7840062720501764</v>
      </c>
      <c r="H71" s="103"/>
    </row>
    <row r="72" spans="1:8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2838.819924988609</v>
      </c>
      <c r="G72" s="203">
        <f t="shared" si="0"/>
        <v>0.2159937279498236</v>
      </c>
      <c r="H72" s="103"/>
    </row>
    <row r="73" spans="1:8" ht="18.75" thickBot="1">
      <c r="A73" s="219"/>
      <c r="B73" s="220"/>
      <c r="C73" s="220"/>
      <c r="D73" s="221"/>
      <c r="E73" s="222"/>
      <c r="F73" s="223"/>
      <c r="G73" s="224"/>
      <c r="H73" s="103"/>
    </row>
    <row r="74" spans="1:8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13143.0664766714</v>
      </c>
      <c r="G74" s="228">
        <f>G71+G72</f>
        <v>1</v>
      </c>
      <c r="H74" s="103"/>
    </row>
    <row r="75" spans="1:8" ht="18">
      <c r="A75" s="229"/>
      <c r="B75" s="230"/>
      <c r="C75" s="230"/>
      <c r="D75" s="230"/>
      <c r="E75" s="230"/>
      <c r="F75" s="230"/>
      <c r="G75" s="231"/>
      <c r="H75" s="103"/>
    </row>
    <row r="76" spans="1:8" ht="18">
      <c r="A76" s="232" t="s">
        <v>146</v>
      </c>
      <c r="B76" s="233"/>
      <c r="C76" s="233"/>
      <c r="D76" s="233"/>
      <c r="E76" s="233"/>
      <c r="F76" s="233"/>
      <c r="G76" s="234">
        <f>G11</f>
        <v>80</v>
      </c>
      <c r="H76" s="103"/>
    </row>
    <row r="77" spans="1:8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1600</v>
      </c>
      <c r="H78" s="103"/>
    </row>
    <row r="79" spans="1:8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8.214416547919624</v>
      </c>
      <c r="H79" s="103"/>
    </row>
    <row r="80" spans="1:8" ht="15">
      <c r="A80" s="103"/>
      <c r="B80" s="103"/>
      <c r="C80" s="103"/>
      <c r="D80" s="103"/>
      <c r="E80" s="103"/>
      <c r="F80" s="103"/>
      <c r="G80" s="103"/>
      <c r="H80" s="103"/>
    </row>
    <row r="81" spans="1:8" ht="18">
      <c r="A81" s="239" t="s">
        <v>230</v>
      </c>
      <c r="B81" s="103"/>
      <c r="C81" s="103"/>
      <c r="D81" s="103"/>
      <c r="E81" s="103"/>
      <c r="F81" s="103"/>
      <c r="G81" s="103"/>
      <c r="H81" s="103"/>
    </row>
    <row r="82" spans="1:8" ht="15.75">
      <c r="A82" s="240" t="s">
        <v>219</v>
      </c>
      <c r="B82" s="103"/>
      <c r="C82" s="103"/>
      <c r="D82" s="103"/>
      <c r="E82" s="103"/>
      <c r="F82" s="103"/>
      <c r="G82" s="103"/>
      <c r="H82" s="103"/>
    </row>
    <row r="83" spans="1:8" ht="15.75">
      <c r="A83" s="240" t="s">
        <v>150</v>
      </c>
      <c r="B83" s="241">
        <f>G11</f>
        <v>80</v>
      </c>
      <c r="C83" s="241"/>
      <c r="D83" s="242" t="s">
        <v>151</v>
      </c>
      <c r="E83" s="103"/>
      <c r="F83" s="103"/>
      <c r="G83" s="103"/>
      <c r="H83" s="103"/>
    </row>
    <row r="84" spans="1:8" ht="15.75">
      <c r="A84" s="240" t="s">
        <v>212</v>
      </c>
      <c r="B84" s="242"/>
      <c r="C84" s="242"/>
      <c r="D84" s="242"/>
      <c r="E84" s="103"/>
      <c r="F84" s="103"/>
      <c r="G84" s="103"/>
      <c r="H84" s="103"/>
    </row>
    <row r="85" spans="1:8" ht="15.75">
      <c r="A85" s="240" t="s">
        <v>152</v>
      </c>
      <c r="B85" s="243"/>
      <c r="C85" s="243"/>
      <c r="D85" s="244">
        <f>H61</f>
        <v>8.214416547919624</v>
      </c>
      <c r="E85" s="245"/>
      <c r="F85" s="341"/>
      <c r="G85" s="341"/>
      <c r="H85" s="341"/>
    </row>
    <row r="86" spans="1:8" ht="15.75">
      <c r="A86" s="240"/>
      <c r="B86" s="97"/>
      <c r="C86" s="97"/>
      <c r="D86" s="97"/>
      <c r="E86" s="97"/>
      <c r="F86" s="341"/>
      <c r="G86" s="341"/>
      <c r="H86" s="341"/>
    </row>
    <row r="87" spans="1:8" ht="18">
      <c r="A87" s="246" t="s">
        <v>153</v>
      </c>
      <c r="B87" s="97"/>
      <c r="C87" s="97"/>
      <c r="D87" s="97"/>
      <c r="E87" s="97"/>
      <c r="F87" s="97"/>
      <c r="G87" s="97"/>
      <c r="H87" s="97"/>
    </row>
    <row r="88" spans="1:8" ht="18">
      <c r="A88" s="247"/>
      <c r="B88" s="247"/>
      <c r="C88" s="247"/>
      <c r="D88" s="247"/>
      <c r="E88" s="247"/>
      <c r="F88" s="247"/>
      <c r="G88" s="247"/>
      <c r="H88" s="247"/>
    </row>
    <row r="89" spans="1:8" ht="18">
      <c r="A89" s="247" t="s">
        <v>154</v>
      </c>
      <c r="B89" s="247"/>
      <c r="C89" s="247"/>
      <c r="D89" s="247"/>
      <c r="E89" s="247"/>
      <c r="F89" s="247"/>
      <c r="G89" s="247"/>
      <c r="H89" s="247"/>
    </row>
    <row r="90" spans="1:8" ht="18">
      <c r="A90" s="247" t="s">
        <v>155</v>
      </c>
      <c r="B90" s="247"/>
      <c r="C90" s="247"/>
      <c r="D90" s="247"/>
      <c r="E90" s="247"/>
      <c r="F90" s="247"/>
      <c r="G90" s="247"/>
      <c r="H90" s="247"/>
    </row>
    <row r="91" spans="1:8" ht="18">
      <c r="A91" s="247" t="s">
        <v>156</v>
      </c>
      <c r="B91" s="247"/>
      <c r="C91" s="247"/>
      <c r="D91" s="247"/>
      <c r="E91" s="247"/>
      <c r="F91" s="247"/>
      <c r="G91" s="247"/>
      <c r="H91" s="247"/>
    </row>
    <row r="92" spans="1:8" ht="18">
      <c r="A92" s="247" t="s">
        <v>157</v>
      </c>
      <c r="B92" s="247"/>
      <c r="C92" s="247"/>
      <c r="D92" s="247"/>
      <c r="E92" s="247"/>
      <c r="F92" s="247"/>
      <c r="G92" s="247"/>
      <c r="H92" s="247"/>
    </row>
    <row r="93" spans="1:8" ht="18">
      <c r="A93" s="247" t="s">
        <v>158</v>
      </c>
      <c r="B93" s="247"/>
      <c r="C93" s="247"/>
      <c r="D93" s="247"/>
      <c r="E93" s="247"/>
      <c r="F93" s="247"/>
      <c r="G93" s="247"/>
      <c r="H93" s="247"/>
    </row>
    <row r="94" spans="1:8" ht="18">
      <c r="A94" s="247" t="s">
        <v>250</v>
      </c>
      <c r="B94" s="247" t="str">
        <f>B17</f>
        <v>Veículo no mínimo de 46 lugares  </v>
      </c>
      <c r="C94" s="247"/>
      <c r="D94" s="247"/>
      <c r="E94" s="247"/>
      <c r="F94" s="247"/>
      <c r="G94" s="247"/>
      <c r="H94" s="247"/>
    </row>
    <row r="95" spans="1:8" ht="18">
      <c r="A95" s="247" t="s">
        <v>187</v>
      </c>
      <c r="B95" s="247"/>
      <c r="C95" s="247"/>
      <c r="D95" s="247"/>
      <c r="E95" s="247"/>
      <c r="F95" s="247"/>
      <c r="G95" s="247"/>
      <c r="H95" s="247"/>
    </row>
    <row r="96" spans="1:8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</row>
    <row r="97" spans="1:8" ht="18">
      <c r="A97" s="247" t="s">
        <v>204</v>
      </c>
      <c r="B97" s="247"/>
      <c r="C97" s="247"/>
      <c r="D97" s="247"/>
      <c r="E97" s="247"/>
      <c r="F97" s="247"/>
      <c r="G97" s="247"/>
      <c r="H97" s="247"/>
    </row>
    <row r="98" spans="1:8" ht="18">
      <c r="A98" s="247" t="s">
        <v>185</v>
      </c>
      <c r="B98" s="247"/>
      <c r="C98" s="247"/>
      <c r="D98" s="247"/>
      <c r="E98" s="247"/>
      <c r="F98" s="247"/>
      <c r="G98" s="247"/>
      <c r="H98" s="247"/>
    </row>
    <row r="99" spans="1:8" ht="18">
      <c r="A99" s="247" t="s">
        <v>258</v>
      </c>
      <c r="B99" s="247"/>
      <c r="C99" s="247">
        <f>G20</f>
        <v>3</v>
      </c>
      <c r="D99" s="247" t="s">
        <v>259</v>
      </c>
      <c r="E99" s="247" t="s">
        <v>257</v>
      </c>
      <c r="F99" s="247"/>
      <c r="G99" s="247"/>
      <c r="H99" s="247"/>
    </row>
    <row r="100" spans="1:8" ht="18">
      <c r="A100" s="247" t="s">
        <v>189</v>
      </c>
      <c r="B100" s="247"/>
      <c r="C100" s="247"/>
      <c r="D100" s="247"/>
      <c r="E100" s="247"/>
      <c r="F100" s="247"/>
      <c r="G100" s="247"/>
      <c r="H100" s="247"/>
    </row>
    <row r="101" spans="1:8" ht="18">
      <c r="A101" s="247" t="s">
        <v>190</v>
      </c>
      <c r="B101" s="247"/>
      <c r="C101" s="247"/>
      <c r="D101" s="247"/>
      <c r="E101" s="247"/>
      <c r="F101" s="247"/>
      <c r="G101" s="247"/>
      <c r="H101" s="247"/>
    </row>
    <row r="102" spans="1:8" ht="18">
      <c r="A102" s="247" t="s">
        <v>207</v>
      </c>
      <c r="B102" s="247"/>
      <c r="C102" s="247"/>
      <c r="D102" s="247"/>
      <c r="E102" s="247"/>
      <c r="F102" s="247"/>
      <c r="G102" s="247"/>
      <c r="H102" s="247"/>
    </row>
    <row r="103" spans="1:8" ht="18">
      <c r="A103" s="247" t="s">
        <v>208</v>
      </c>
      <c r="B103" s="247"/>
      <c r="C103" s="247"/>
      <c r="D103" s="247"/>
      <c r="E103" s="247"/>
      <c r="F103" s="247"/>
      <c r="G103" s="247"/>
      <c r="H103" s="247"/>
    </row>
    <row r="104" spans="1:8" ht="18">
      <c r="A104" s="247" t="s">
        <v>247</v>
      </c>
      <c r="B104" s="247"/>
      <c r="C104" s="247"/>
      <c r="D104" s="247"/>
      <c r="E104" s="247"/>
      <c r="F104" s="247"/>
      <c r="G104" s="247"/>
      <c r="H104" s="247"/>
    </row>
    <row r="105" spans="1:8" ht="18">
      <c r="A105" s="247" t="s">
        <v>192</v>
      </c>
      <c r="B105" s="247"/>
      <c r="C105" s="247"/>
      <c r="D105" s="247"/>
      <c r="E105" s="247"/>
      <c r="F105" s="247"/>
      <c r="G105" s="247"/>
      <c r="H105" s="247"/>
    </row>
    <row r="106" spans="1:8" ht="18">
      <c r="A106" s="247" t="s">
        <v>160</v>
      </c>
      <c r="B106" s="247"/>
      <c r="C106" s="247"/>
      <c r="D106" s="247"/>
      <c r="E106" s="247"/>
      <c r="F106" s="247"/>
      <c r="G106" s="247"/>
      <c r="H106" s="247"/>
    </row>
    <row r="107" spans="1:8" ht="18">
      <c r="A107" s="247" t="s">
        <v>161</v>
      </c>
      <c r="B107" s="247"/>
      <c r="C107" s="247"/>
      <c r="D107" s="247"/>
      <c r="E107" s="247"/>
      <c r="F107" s="247"/>
      <c r="G107" s="247"/>
      <c r="H107" s="247"/>
    </row>
    <row r="108" spans="1:8" ht="18">
      <c r="A108" s="247" t="s">
        <v>188</v>
      </c>
      <c r="B108" s="247"/>
      <c r="C108" s="247"/>
      <c r="D108" s="247"/>
      <c r="E108" s="247"/>
      <c r="F108" s="247"/>
      <c r="G108" s="247"/>
      <c r="H108" s="247"/>
    </row>
    <row r="109" spans="1:8" ht="18">
      <c r="A109" s="247" t="s">
        <v>217</v>
      </c>
      <c r="B109" s="247"/>
      <c r="C109" s="247"/>
      <c r="D109" s="247"/>
      <c r="E109" s="247"/>
      <c r="F109" s="247"/>
      <c r="G109" s="247"/>
      <c r="H109" s="247"/>
    </row>
    <row r="110" spans="1:8" ht="18">
      <c r="A110" s="247" t="s">
        <v>317</v>
      </c>
      <c r="B110" s="247"/>
      <c r="C110" s="247"/>
      <c r="D110" s="247"/>
      <c r="E110" s="247"/>
      <c r="F110" s="247"/>
      <c r="G110" s="247"/>
      <c r="H110" s="247"/>
    </row>
    <row r="111" spans="1:8" ht="18">
      <c r="A111" s="247" t="s">
        <v>315</v>
      </c>
      <c r="B111" s="247"/>
      <c r="C111" s="247"/>
      <c r="D111" s="247"/>
      <c r="E111" s="247"/>
      <c r="F111" s="247"/>
      <c r="G111" s="247"/>
      <c r="H111" s="247"/>
    </row>
    <row r="112" spans="1:8" ht="18">
      <c r="A112" s="247" t="s">
        <v>316</v>
      </c>
      <c r="B112" s="247"/>
      <c r="C112" s="247"/>
      <c r="D112" s="247"/>
      <c r="E112" s="247"/>
      <c r="F112" s="247"/>
      <c r="G112" s="247"/>
      <c r="H112" s="247"/>
    </row>
    <row r="113" spans="1:8" ht="18">
      <c r="A113" s="247" t="s">
        <v>162</v>
      </c>
      <c r="B113" s="247"/>
      <c r="C113" s="247"/>
      <c r="D113" s="247"/>
      <c r="E113" s="247"/>
      <c r="F113" s="247"/>
      <c r="G113" s="247"/>
      <c r="H113" s="247"/>
    </row>
    <row r="114" spans="1:8" ht="18">
      <c r="A114" s="247" t="s">
        <v>248</v>
      </c>
      <c r="B114" s="247"/>
      <c r="C114" s="247"/>
      <c r="D114" s="247"/>
      <c r="E114" s="247"/>
      <c r="F114" s="247"/>
      <c r="G114" s="247"/>
      <c r="H114" s="247"/>
    </row>
    <row r="115" spans="1:8" ht="18">
      <c r="A115" s="247" t="s">
        <v>213</v>
      </c>
      <c r="B115" s="247"/>
      <c r="C115" s="247"/>
      <c r="D115" s="247"/>
      <c r="E115" s="247"/>
      <c r="F115" s="247"/>
      <c r="G115" s="247"/>
      <c r="H115" s="247"/>
    </row>
    <row r="116" spans="1:8" ht="18">
      <c r="A116" s="247" t="s">
        <v>163</v>
      </c>
      <c r="B116" s="247"/>
      <c r="C116" s="247"/>
      <c r="D116" s="247"/>
      <c r="E116" s="247"/>
      <c r="F116" s="247"/>
      <c r="G116" s="247"/>
      <c r="H116" s="247"/>
    </row>
    <row r="117" spans="1:8" ht="18">
      <c r="A117" s="247" t="s">
        <v>164</v>
      </c>
      <c r="B117" s="247"/>
      <c r="C117" s="247"/>
      <c r="D117" s="247"/>
      <c r="E117" s="247"/>
      <c r="F117" s="247"/>
      <c r="G117" s="247"/>
      <c r="H117" s="247"/>
    </row>
    <row r="118" spans="1:8" ht="18">
      <c r="A118" s="247" t="s">
        <v>165</v>
      </c>
      <c r="B118" s="247"/>
      <c r="C118" s="247"/>
      <c r="D118" s="247"/>
      <c r="E118" s="247"/>
      <c r="F118" s="247"/>
      <c r="G118" s="247"/>
      <c r="H118" s="247"/>
    </row>
    <row r="119" spans="1:8" ht="18">
      <c r="A119" s="247" t="s">
        <v>166</v>
      </c>
      <c r="B119" s="247"/>
      <c r="C119" s="247"/>
      <c r="D119" s="247"/>
      <c r="E119" s="247"/>
      <c r="F119" s="247"/>
      <c r="G119" s="247"/>
      <c r="H119" s="247"/>
    </row>
    <row r="120" spans="1:8" ht="18">
      <c r="A120" s="247" t="s">
        <v>209</v>
      </c>
      <c r="B120" s="247"/>
      <c r="C120" s="247"/>
      <c r="D120" s="247"/>
      <c r="E120" s="247"/>
      <c r="F120" s="247"/>
      <c r="G120" s="247"/>
      <c r="H120" s="247"/>
    </row>
    <row r="121" spans="1:8" ht="18">
      <c r="A121" s="247" t="s">
        <v>249</v>
      </c>
      <c r="B121" s="97"/>
      <c r="C121" s="97"/>
      <c r="D121" s="97"/>
      <c r="E121" s="97"/>
      <c r="F121" s="97"/>
      <c r="G121" s="97"/>
      <c r="H121" s="97"/>
    </row>
    <row r="122" spans="1:8" ht="18">
      <c r="A122" s="247" t="s">
        <v>214</v>
      </c>
      <c r="B122" s="97"/>
      <c r="C122" s="97"/>
      <c r="D122" s="97"/>
      <c r="E122" s="97"/>
      <c r="F122" s="97"/>
      <c r="G122" s="97"/>
      <c r="H122" s="97"/>
    </row>
    <row r="123" spans="1:8" ht="18">
      <c r="A123" s="247" t="s">
        <v>167</v>
      </c>
      <c r="B123" s="97"/>
      <c r="C123" s="97"/>
      <c r="D123" s="97"/>
      <c r="E123" s="97"/>
      <c r="F123" s="97"/>
      <c r="G123" s="97"/>
      <c r="H123" s="97"/>
    </row>
    <row r="124" spans="1:8" ht="18">
      <c r="A124" s="247" t="s">
        <v>168</v>
      </c>
      <c r="B124" s="97"/>
      <c r="C124" s="97"/>
      <c r="D124" s="97"/>
      <c r="E124" s="97"/>
      <c r="F124" s="97"/>
      <c r="G124" s="97"/>
      <c r="H124" s="97"/>
    </row>
    <row r="125" spans="1:8" ht="18">
      <c r="A125" s="247" t="s">
        <v>169</v>
      </c>
      <c r="B125" s="97"/>
      <c r="C125" s="97"/>
      <c r="D125" s="97"/>
      <c r="E125" s="97"/>
      <c r="F125" s="97"/>
      <c r="G125" s="97"/>
      <c r="H125" s="97"/>
    </row>
    <row r="126" spans="1:8" ht="18">
      <c r="A126" s="247" t="s">
        <v>170</v>
      </c>
      <c r="B126" s="97"/>
      <c r="C126" s="97"/>
      <c r="D126" s="97"/>
      <c r="E126" s="97"/>
      <c r="F126" s="97"/>
      <c r="G126" s="97"/>
      <c r="H126" s="97"/>
    </row>
    <row r="127" spans="1:8" ht="18">
      <c r="A127" s="247" t="s">
        <v>171</v>
      </c>
      <c r="B127" s="97"/>
      <c r="C127" s="97"/>
      <c r="D127" s="97"/>
      <c r="E127" s="97"/>
      <c r="F127" s="97"/>
      <c r="G127" s="97"/>
      <c r="H127" s="97"/>
    </row>
    <row r="128" spans="1:8" ht="18">
      <c r="A128" s="247" t="s">
        <v>216</v>
      </c>
      <c r="B128" s="97"/>
      <c r="C128" s="97"/>
      <c r="D128" s="97"/>
      <c r="E128" s="97"/>
      <c r="F128" s="97"/>
      <c r="G128" s="97"/>
      <c r="H128" s="97"/>
    </row>
    <row r="129" spans="1:8" ht="16.5">
      <c r="A129" s="248"/>
      <c r="B129" s="97"/>
      <c r="C129" s="97"/>
      <c r="D129" s="97"/>
      <c r="E129" s="97"/>
      <c r="F129" s="97"/>
      <c r="G129" s="97"/>
      <c r="H129" s="97"/>
    </row>
    <row r="130" spans="1:8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</row>
    <row r="131" spans="1:8" ht="18">
      <c r="A131" s="247"/>
      <c r="B131" s="97"/>
      <c r="C131" s="97"/>
      <c r="D131" s="97"/>
      <c r="E131" s="97"/>
      <c r="F131" s="97"/>
      <c r="G131" s="97"/>
      <c r="H131" s="97"/>
    </row>
    <row r="132" spans="1:8" ht="18">
      <c r="A132" s="247"/>
      <c r="B132" s="97"/>
      <c r="C132" s="97"/>
      <c r="D132" s="97"/>
      <c r="E132" s="97"/>
      <c r="F132" s="97"/>
      <c r="G132" s="97"/>
      <c r="H132" s="97"/>
    </row>
    <row r="133" spans="1:8" ht="18">
      <c r="A133" s="247" t="s">
        <v>172</v>
      </c>
      <c r="B133" s="97"/>
      <c r="C133" s="97"/>
      <c r="D133" s="97"/>
      <c r="E133" s="97"/>
      <c r="F133" s="97"/>
      <c r="G133" s="97"/>
      <c r="H133" s="97"/>
    </row>
    <row r="134" spans="1:8" ht="12.75">
      <c r="A134" s="97"/>
      <c r="B134" s="97"/>
      <c r="C134" s="97"/>
      <c r="D134" s="97"/>
      <c r="E134" s="97"/>
      <c r="F134" s="97"/>
      <c r="G134" s="97"/>
      <c r="H134" s="97"/>
    </row>
    <row r="135" spans="1:8" ht="12.75">
      <c r="A135" s="97"/>
      <c r="B135" s="97"/>
      <c r="C135" s="97"/>
      <c r="D135" s="97"/>
      <c r="E135" s="97"/>
      <c r="F135" s="97"/>
      <c r="G135" s="97"/>
      <c r="H135" s="97"/>
    </row>
    <row r="136" spans="1:8" ht="12.75">
      <c r="A136" s="97"/>
      <c r="B136" s="97"/>
      <c r="C136" s="97"/>
      <c r="D136" s="97"/>
      <c r="E136" s="97"/>
      <c r="F136" s="97"/>
      <c r="G136" s="97"/>
      <c r="H136" s="97"/>
    </row>
  </sheetData>
  <sheetProtection/>
  <mergeCells count="25">
    <mergeCell ref="A20:F20"/>
    <mergeCell ref="A1:H1"/>
    <mergeCell ref="A2:H2"/>
    <mergeCell ref="A3:H3"/>
    <mergeCell ref="A4:H4"/>
    <mergeCell ref="A11:F11"/>
    <mergeCell ref="A14:F14"/>
    <mergeCell ref="B8:C8"/>
    <mergeCell ref="B10:C10"/>
    <mergeCell ref="A18:F18"/>
    <mergeCell ref="A63:G63"/>
    <mergeCell ref="F85:H86"/>
    <mergeCell ref="A21:F21"/>
    <mergeCell ref="A22:F22"/>
    <mergeCell ref="A23:F23"/>
    <mergeCell ref="A33:H33"/>
    <mergeCell ref="A50:G50"/>
    <mergeCell ref="A52:G52"/>
    <mergeCell ref="A15:F15"/>
    <mergeCell ref="A16:F16"/>
    <mergeCell ref="B17:G17"/>
    <mergeCell ref="A19:F19"/>
    <mergeCell ref="B7:C7"/>
    <mergeCell ref="B13:C13"/>
    <mergeCell ref="B12:C12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39.28125" style="0" customWidth="1"/>
    <col min="2" max="2" width="12.8515625" style="0" customWidth="1"/>
    <col min="4" max="4" width="22.8515625" style="0" customWidth="1"/>
    <col min="5" max="5" width="18.421875" style="0" bestFit="1" customWidth="1"/>
    <col min="6" max="6" width="19.7109375" style="0" bestFit="1" customWidth="1"/>
    <col min="7" max="7" width="15.28125" style="0" bestFit="1" customWidth="1"/>
    <col min="8" max="8" width="16.57421875" style="0" bestFit="1" customWidth="1"/>
    <col min="9" max="9" width="12.140625" style="0" bestFit="1" customWidth="1"/>
  </cols>
  <sheetData>
    <row r="1" spans="1:9" ht="16.5" thickBot="1">
      <c r="A1" s="332" t="s">
        <v>274</v>
      </c>
      <c r="B1" s="333"/>
      <c r="C1" s="333"/>
      <c r="D1" s="333"/>
      <c r="E1" s="333"/>
      <c r="F1" s="333"/>
      <c r="G1" s="333"/>
      <c r="H1" s="334"/>
      <c r="I1" s="95"/>
    </row>
    <row r="2" spans="1:9" ht="16.5" thickBot="1">
      <c r="A2" s="310" t="s">
        <v>307</v>
      </c>
      <c r="B2" s="311"/>
      <c r="C2" s="311"/>
      <c r="D2" s="311"/>
      <c r="E2" s="311"/>
      <c r="F2" s="311"/>
      <c r="G2" s="311"/>
      <c r="H2" s="312"/>
      <c r="I2" s="95"/>
    </row>
    <row r="3" spans="1:9" ht="16.5" thickBot="1">
      <c r="A3" s="332" t="s">
        <v>269</v>
      </c>
      <c r="B3" s="333"/>
      <c r="C3" s="333"/>
      <c r="D3" s="333"/>
      <c r="E3" s="333"/>
      <c r="F3" s="333"/>
      <c r="G3" s="333"/>
      <c r="H3" s="334"/>
      <c r="I3" s="95"/>
    </row>
    <row r="4" spans="1:9" ht="15.75" thickBot="1">
      <c r="A4" s="335" t="s">
        <v>9</v>
      </c>
      <c r="B4" s="336"/>
      <c r="C4" s="336"/>
      <c r="D4" s="336"/>
      <c r="E4" s="336"/>
      <c r="F4" s="336"/>
      <c r="G4" s="336"/>
      <c r="H4" s="337"/>
      <c r="I4" s="98"/>
    </row>
    <row r="5" spans="1:9" ht="8.25" customHeight="1">
      <c r="A5" s="99"/>
      <c r="B5" s="99"/>
      <c r="C5" s="99"/>
      <c r="D5" s="99"/>
      <c r="E5" s="99"/>
      <c r="F5" s="99"/>
      <c r="G5" s="99"/>
      <c r="H5" s="96"/>
      <c r="I5" s="96"/>
    </row>
    <row r="6" spans="1:9" ht="15.75">
      <c r="A6" s="100" t="s">
        <v>225</v>
      </c>
      <c r="B6" s="96"/>
      <c r="C6" s="96"/>
      <c r="D6" s="96"/>
      <c r="E6" s="96"/>
      <c r="F6" s="96"/>
      <c r="G6" s="96"/>
      <c r="H6" s="96"/>
      <c r="I6" s="96"/>
    </row>
    <row r="7" spans="1:9" ht="15.75">
      <c r="A7" s="101" t="s">
        <v>104</v>
      </c>
      <c r="B7" s="324" t="s">
        <v>193</v>
      </c>
      <c r="C7" s="325"/>
      <c r="D7" s="102" t="s">
        <v>233</v>
      </c>
      <c r="E7" s="102" t="s">
        <v>194</v>
      </c>
      <c r="F7" s="102" t="s">
        <v>234</v>
      </c>
      <c r="G7" s="102" t="s">
        <v>105</v>
      </c>
      <c r="H7" s="103"/>
      <c r="I7" s="103"/>
    </row>
    <row r="8" spans="1:9" ht="15.75">
      <c r="A8" s="101" t="s">
        <v>106</v>
      </c>
      <c r="B8" s="320">
        <v>28</v>
      </c>
      <c r="C8" s="321"/>
      <c r="D8" s="104"/>
      <c r="E8" s="104"/>
      <c r="F8" s="104"/>
      <c r="G8" s="105">
        <f>SUM(B8:F8)</f>
        <v>28</v>
      </c>
      <c r="H8" s="103"/>
      <c r="I8" s="103"/>
    </row>
    <row r="9" spans="1:9" ht="15.75" hidden="1">
      <c r="A9" s="101" t="s">
        <v>107</v>
      </c>
      <c r="B9" s="106"/>
      <c r="C9" s="106"/>
      <c r="D9" s="106"/>
      <c r="E9" s="106"/>
      <c r="F9" s="106"/>
      <c r="G9" s="107">
        <v>0</v>
      </c>
      <c r="H9" s="103"/>
      <c r="I9" s="103"/>
    </row>
    <row r="10" spans="1:9" ht="15.75">
      <c r="A10" s="101" t="s">
        <v>218</v>
      </c>
      <c r="B10" s="322">
        <v>153</v>
      </c>
      <c r="C10" s="323"/>
      <c r="D10" s="108"/>
      <c r="E10" s="108"/>
      <c r="F10" s="108"/>
      <c r="G10" s="109">
        <f>SUM(B10:F10)</f>
        <v>153</v>
      </c>
      <c r="H10" s="305">
        <f>G10/G13</f>
        <v>32.21052631578947</v>
      </c>
      <c r="I10" s="103"/>
    </row>
    <row r="11" spans="1:13" ht="15.75">
      <c r="A11" s="326" t="s">
        <v>108</v>
      </c>
      <c r="B11" s="327"/>
      <c r="C11" s="327"/>
      <c r="D11" s="327"/>
      <c r="E11" s="327"/>
      <c r="F11" s="328"/>
      <c r="G11" s="110">
        <f>G10+G9</f>
        <v>153</v>
      </c>
      <c r="H11" s="103"/>
      <c r="I11" s="103"/>
      <c r="J11" s="302"/>
      <c r="K11" s="302"/>
      <c r="L11" s="302"/>
      <c r="M11" s="302"/>
    </row>
    <row r="12" spans="1:10" ht="15.75">
      <c r="A12" s="258" t="s">
        <v>109</v>
      </c>
      <c r="B12" s="324" t="s">
        <v>303</v>
      </c>
      <c r="C12" s="325"/>
      <c r="D12" s="102" t="s">
        <v>291</v>
      </c>
      <c r="E12" s="303" t="s">
        <v>252</v>
      </c>
      <c r="F12" s="111"/>
      <c r="G12" s="112" t="s">
        <v>110</v>
      </c>
      <c r="H12" s="103"/>
      <c r="I12" s="103"/>
      <c r="J12" s="103"/>
    </row>
    <row r="13" spans="1:10" ht="15.75">
      <c r="A13" s="258" t="s">
        <v>111</v>
      </c>
      <c r="B13" s="324">
        <f>5/60+2</f>
        <v>2.0833333333333335</v>
      </c>
      <c r="C13" s="325"/>
      <c r="D13" s="102">
        <f>50/60+1</f>
        <v>1.8333333333333335</v>
      </c>
      <c r="E13" s="108">
        <f>50/60</f>
        <v>0.8333333333333334</v>
      </c>
      <c r="F13" s="113">
        <f>F10/20</f>
        <v>0</v>
      </c>
      <c r="G13" s="109">
        <f>SUM(B13:F13)</f>
        <v>4.75</v>
      </c>
      <c r="H13" s="114"/>
      <c r="I13" s="103"/>
      <c r="J13" s="103"/>
    </row>
    <row r="14" spans="1:10" ht="15.75">
      <c r="A14" s="326" t="s">
        <v>314</v>
      </c>
      <c r="B14" s="327"/>
      <c r="C14" s="327"/>
      <c r="D14" s="327"/>
      <c r="E14" s="327"/>
      <c r="F14" s="328"/>
      <c r="G14" s="109">
        <v>3.5</v>
      </c>
      <c r="H14" s="115"/>
      <c r="I14" s="115"/>
      <c r="J14" s="115"/>
    </row>
    <row r="15" spans="1:10" ht="15.75">
      <c r="A15" s="326" t="s">
        <v>112</v>
      </c>
      <c r="B15" s="327"/>
      <c r="C15" s="327"/>
      <c r="D15" s="327"/>
      <c r="E15" s="327"/>
      <c r="F15" s="328"/>
      <c r="G15" s="110">
        <f>(G14+G13)</f>
        <v>8.25</v>
      </c>
      <c r="H15" s="115"/>
      <c r="I15" s="115"/>
      <c r="J15" s="115"/>
    </row>
    <row r="16" spans="1:9" ht="15.75">
      <c r="A16" s="326" t="s">
        <v>113</v>
      </c>
      <c r="B16" s="327"/>
      <c r="C16" s="327"/>
      <c r="D16" s="327"/>
      <c r="E16" s="327"/>
      <c r="F16" s="328"/>
      <c r="G16" s="116"/>
      <c r="H16" s="103"/>
      <c r="I16" s="103"/>
    </row>
    <row r="17" spans="1:9" ht="15.75">
      <c r="A17" s="112" t="s">
        <v>114</v>
      </c>
      <c r="B17" s="338" t="s">
        <v>267</v>
      </c>
      <c r="C17" s="339"/>
      <c r="D17" s="339"/>
      <c r="E17" s="339"/>
      <c r="F17" s="339"/>
      <c r="G17" s="340"/>
      <c r="H17" s="103"/>
      <c r="I17" s="103"/>
    </row>
    <row r="18" spans="1:9" ht="15.75">
      <c r="A18" s="329" t="s">
        <v>278</v>
      </c>
      <c r="B18" s="330"/>
      <c r="C18" s="330"/>
      <c r="D18" s="330"/>
      <c r="E18" s="330"/>
      <c r="F18" s="331"/>
      <c r="G18" s="265">
        <v>107000</v>
      </c>
      <c r="H18" s="103"/>
      <c r="I18" s="103"/>
    </row>
    <row r="19" spans="1:9" ht="15.75">
      <c r="A19" s="326" t="s">
        <v>205</v>
      </c>
      <c r="B19" s="327"/>
      <c r="C19" s="327"/>
      <c r="D19" s="327"/>
      <c r="E19" s="327"/>
      <c r="F19" s="328"/>
      <c r="G19" s="266">
        <v>6.39</v>
      </c>
      <c r="H19" s="103"/>
      <c r="I19" s="103"/>
    </row>
    <row r="20" spans="1:9" ht="15.75">
      <c r="A20" s="326" t="s">
        <v>211</v>
      </c>
      <c r="B20" s="327"/>
      <c r="C20" s="327"/>
      <c r="D20" s="327"/>
      <c r="E20" s="327"/>
      <c r="F20" s="328"/>
      <c r="G20" s="266">
        <v>4.5</v>
      </c>
      <c r="H20" s="103"/>
      <c r="I20" s="103"/>
    </row>
    <row r="21" spans="1:9" ht="15.75">
      <c r="A21" s="326" t="s">
        <v>206</v>
      </c>
      <c r="B21" s="327"/>
      <c r="C21" s="327"/>
      <c r="D21" s="327"/>
      <c r="E21" s="327"/>
      <c r="F21" s="328"/>
      <c r="G21" s="266">
        <v>0.5</v>
      </c>
      <c r="H21" s="103"/>
      <c r="I21" s="103"/>
    </row>
    <row r="22" spans="1:9" ht="15.75">
      <c r="A22" s="326" t="s">
        <v>115</v>
      </c>
      <c r="B22" s="327"/>
      <c r="C22" s="327"/>
      <c r="D22" s="327"/>
      <c r="E22" s="327"/>
      <c r="F22" s="328"/>
      <c r="G22" s="117">
        <v>20</v>
      </c>
      <c r="H22" s="103"/>
      <c r="I22" s="103"/>
    </row>
    <row r="23" spans="1:9" ht="15.75">
      <c r="A23" s="326" t="s">
        <v>195</v>
      </c>
      <c r="B23" s="327"/>
      <c r="C23" s="327"/>
      <c r="D23" s="327"/>
      <c r="E23" s="327"/>
      <c r="F23" s="328"/>
      <c r="G23" s="109">
        <f>G22*G11</f>
        <v>3060</v>
      </c>
      <c r="H23" s="103"/>
      <c r="I23" s="103"/>
    </row>
    <row r="24" spans="1:9" ht="12.7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5.75">
      <c r="A25" s="118" t="s">
        <v>116</v>
      </c>
      <c r="B25" s="119" t="s">
        <v>103</v>
      </c>
      <c r="C25" s="96"/>
      <c r="D25" s="281" t="s">
        <v>201</v>
      </c>
      <c r="E25" s="282"/>
      <c r="F25" s="282"/>
      <c r="G25" s="283"/>
      <c r="H25" s="284"/>
      <c r="I25" s="103"/>
    </row>
    <row r="26" spans="1:9" ht="16.5" thickBot="1">
      <c r="A26" s="112" t="s">
        <v>202</v>
      </c>
      <c r="B26" s="287">
        <f>(G22*G11*G19)/G20</f>
        <v>4345.2</v>
      </c>
      <c r="C26" s="120"/>
      <c r="D26" s="278" t="s">
        <v>10</v>
      </c>
      <c r="E26" s="279" t="s">
        <v>11</v>
      </c>
      <c r="F26" s="279" t="s">
        <v>6</v>
      </c>
      <c r="G26" s="280" t="s">
        <v>91</v>
      </c>
      <c r="H26" s="280" t="s">
        <v>12</v>
      </c>
      <c r="I26" s="103"/>
    </row>
    <row r="27" spans="1:9" ht="15.75">
      <c r="A27" s="112" t="s">
        <v>203</v>
      </c>
      <c r="B27" s="287">
        <f>G21*G23</f>
        <v>1530</v>
      </c>
      <c r="C27" s="120"/>
      <c r="D27" s="267" t="s">
        <v>196</v>
      </c>
      <c r="E27" s="268" t="s">
        <v>2</v>
      </c>
      <c r="F27" s="269">
        <v>4</v>
      </c>
      <c r="G27" s="270">
        <v>1273</v>
      </c>
      <c r="H27" s="271">
        <f>F27*G27</f>
        <v>5092</v>
      </c>
      <c r="I27" s="103"/>
    </row>
    <row r="28" spans="1:9" ht="15.75">
      <c r="A28" s="112" t="str">
        <f>D25</f>
        <v>1.3 Pneus</v>
      </c>
      <c r="B28" s="287">
        <f>H31</f>
        <v>332.469</v>
      </c>
      <c r="C28" s="121"/>
      <c r="D28" s="267" t="s">
        <v>200</v>
      </c>
      <c r="E28" s="268" t="s">
        <v>2</v>
      </c>
      <c r="F28" s="285">
        <v>2</v>
      </c>
      <c r="G28" s="272"/>
      <c r="H28" s="271"/>
      <c r="I28" s="103"/>
    </row>
    <row r="29" spans="1:9" ht="15.75">
      <c r="A29" s="102"/>
      <c r="B29" s="124"/>
      <c r="C29" s="125"/>
      <c r="D29" s="267" t="s">
        <v>197</v>
      </c>
      <c r="E29" s="268" t="s">
        <v>2</v>
      </c>
      <c r="F29" s="288">
        <f>F27*F28</f>
        <v>8</v>
      </c>
      <c r="G29" s="270">
        <v>450</v>
      </c>
      <c r="H29" s="271">
        <f>F29*G29</f>
        <v>3600</v>
      </c>
      <c r="I29" s="103"/>
    </row>
    <row r="30" spans="1:9" ht="15.75">
      <c r="A30" s="102" t="s">
        <v>117</v>
      </c>
      <c r="B30" s="124">
        <f>SUM(B26:B29)</f>
        <v>6207.669</v>
      </c>
      <c r="C30" s="125"/>
      <c r="D30" s="273" t="s">
        <v>215</v>
      </c>
      <c r="E30" s="274" t="s">
        <v>198</v>
      </c>
      <c r="F30" s="275">
        <v>80000</v>
      </c>
      <c r="G30" s="276">
        <f>H27+H29</f>
        <v>8692</v>
      </c>
      <c r="H30" s="276">
        <f>_xlfn.IFERROR(G30/F30,"-")</f>
        <v>0.10865</v>
      </c>
      <c r="I30" s="103"/>
    </row>
    <row r="31" spans="1:9" ht="15.75">
      <c r="A31" s="126"/>
      <c r="B31" s="125"/>
      <c r="C31" s="125"/>
      <c r="D31" s="273" t="s">
        <v>199</v>
      </c>
      <c r="E31" s="274" t="s">
        <v>3</v>
      </c>
      <c r="F31" s="277">
        <f>G23</f>
        <v>3060</v>
      </c>
      <c r="G31" s="276">
        <f>H30</f>
        <v>0.10865</v>
      </c>
      <c r="H31" s="286">
        <f>_xlfn.IFERROR(F31*G31,0)</f>
        <v>332.469</v>
      </c>
      <c r="I31" s="103"/>
    </row>
    <row r="32" spans="1:9" ht="12" customHeight="1">
      <c r="A32" s="126"/>
      <c r="B32" s="127"/>
      <c r="C32" s="127"/>
      <c r="D32" s="103"/>
      <c r="E32" s="103"/>
      <c r="F32" s="103"/>
      <c r="G32" s="103"/>
      <c r="H32" s="103"/>
      <c r="I32" s="103"/>
    </row>
    <row r="33" spans="1:9" ht="15.75">
      <c r="A33" s="342" t="s">
        <v>118</v>
      </c>
      <c r="B33" s="343"/>
      <c r="C33" s="343"/>
      <c r="D33" s="343"/>
      <c r="E33" s="343"/>
      <c r="F33" s="343"/>
      <c r="G33" s="343"/>
      <c r="H33" s="343"/>
      <c r="I33" s="95"/>
    </row>
    <row r="34" spans="1:9" ht="15.75">
      <c r="A34" s="128" t="s">
        <v>312</v>
      </c>
      <c r="B34" s="307">
        <f>G44*0.1375</f>
        <v>14712.500000000002</v>
      </c>
      <c r="C34" s="129"/>
      <c r="D34" s="130" t="s">
        <v>119</v>
      </c>
      <c r="E34" s="130" t="s">
        <v>120</v>
      </c>
      <c r="F34" s="130" t="s">
        <v>121</v>
      </c>
      <c r="G34" s="130" t="s">
        <v>122</v>
      </c>
      <c r="H34" s="130" t="s">
        <v>105</v>
      </c>
      <c r="I34" s="97"/>
    </row>
    <row r="35" spans="1:9" ht="15.75">
      <c r="A35" s="123" t="s">
        <v>123</v>
      </c>
      <c r="B35" s="131">
        <v>0</v>
      </c>
      <c r="C35" s="129"/>
      <c r="D35" s="308">
        <v>2321.75</v>
      </c>
      <c r="E35" s="309">
        <f>'Encargos Sociais'!C38</f>
        <v>0.352117</v>
      </c>
      <c r="F35" s="132">
        <f>(D35*E35)+D35</f>
        <v>3139.27764475</v>
      </c>
      <c r="G35" s="136">
        <v>10</v>
      </c>
      <c r="H35" s="110">
        <f>F35*G35</f>
        <v>31392.7764475</v>
      </c>
      <c r="I35" s="97"/>
    </row>
    <row r="36" spans="1:9" ht="15.75">
      <c r="A36" s="123" t="s">
        <v>124</v>
      </c>
      <c r="B36" s="306">
        <v>94.1</v>
      </c>
      <c r="C36" s="129"/>
      <c r="D36" s="102" t="s">
        <v>125</v>
      </c>
      <c r="E36" s="102" t="s">
        <v>126</v>
      </c>
      <c r="F36" s="102" t="s">
        <v>121</v>
      </c>
      <c r="G36" s="102" t="s">
        <v>122</v>
      </c>
      <c r="H36" s="102" t="s">
        <v>105</v>
      </c>
      <c r="I36" s="97"/>
    </row>
    <row r="37" spans="1:9" ht="15.75">
      <c r="A37" s="123" t="s">
        <v>191</v>
      </c>
      <c r="B37" s="306">
        <v>1100</v>
      </c>
      <c r="C37" s="129"/>
      <c r="D37" s="306">
        <f>27.68*0.8</f>
        <v>22.144000000000002</v>
      </c>
      <c r="E37" s="134">
        <v>20</v>
      </c>
      <c r="F37" s="135">
        <f>D37*E37</f>
        <v>442.88000000000005</v>
      </c>
      <c r="G37" s="136">
        <v>10</v>
      </c>
      <c r="H37" s="110">
        <f>F37*G37</f>
        <v>4428.8</v>
      </c>
      <c r="I37" s="97"/>
    </row>
    <row r="38" spans="1:9" ht="15.75">
      <c r="A38" s="123" t="s">
        <v>127</v>
      </c>
      <c r="B38" s="131">
        <f>H48</f>
        <v>5045.406666666667</v>
      </c>
      <c r="C38" s="129"/>
      <c r="D38" s="102" t="s">
        <v>210</v>
      </c>
      <c r="E38" s="102" t="s">
        <v>126</v>
      </c>
      <c r="F38" s="102" t="s">
        <v>121</v>
      </c>
      <c r="G38" s="102" t="s">
        <v>122</v>
      </c>
      <c r="H38" s="102" t="s">
        <v>105</v>
      </c>
      <c r="I38" s="97"/>
    </row>
    <row r="39" spans="1:9" ht="15.75">
      <c r="A39" s="123" t="s">
        <v>129</v>
      </c>
      <c r="B39" s="306">
        <v>1900</v>
      </c>
      <c r="C39" s="129"/>
      <c r="D39" s="306">
        <f>128.68*0.8</f>
        <v>102.94400000000002</v>
      </c>
      <c r="E39" s="134">
        <v>1</v>
      </c>
      <c r="F39" s="135">
        <f>D39*E39</f>
        <v>102.94400000000002</v>
      </c>
      <c r="G39" s="136">
        <v>10</v>
      </c>
      <c r="H39" s="110">
        <f>F39*G39</f>
        <v>1029.44</v>
      </c>
      <c r="I39" s="97"/>
    </row>
    <row r="40" spans="1:9" ht="15.75">
      <c r="A40" s="123" t="s">
        <v>130</v>
      </c>
      <c r="B40" s="139">
        <v>1</v>
      </c>
      <c r="C40" s="129"/>
      <c r="D40" s="137" t="s">
        <v>128</v>
      </c>
      <c r="E40" s="134"/>
      <c r="F40" s="138"/>
      <c r="G40" s="136"/>
      <c r="H40" s="110">
        <f>H35+H37+H39</f>
        <v>36851.016447500006</v>
      </c>
      <c r="I40" s="97"/>
    </row>
    <row r="41" spans="1:9" ht="15.75" thickBot="1">
      <c r="A41" s="123" t="s">
        <v>132</v>
      </c>
      <c r="B41" s="133">
        <f>H40*B40</f>
        <v>36851.016447500006</v>
      </c>
      <c r="C41" s="129"/>
      <c r="D41" s="103"/>
      <c r="E41" s="259"/>
      <c r="F41" s="259"/>
      <c r="G41" s="259"/>
      <c r="H41" s="259"/>
      <c r="I41" s="97"/>
    </row>
    <row r="42" spans="1:9" ht="16.5" thickBot="1">
      <c r="A42" s="112" t="s">
        <v>133</v>
      </c>
      <c r="B42" s="124">
        <f>SUM(B34:B39)+B41</f>
        <v>59703.02311416667</v>
      </c>
      <c r="C42" s="140"/>
      <c r="D42" s="141" t="s">
        <v>131</v>
      </c>
      <c r="E42" s="142"/>
      <c r="F42" s="142"/>
      <c r="G42" s="103"/>
      <c r="H42" s="103"/>
      <c r="I42" s="97"/>
    </row>
    <row r="43" spans="1:9" ht="16.5" thickBot="1">
      <c r="A43" s="112" t="s">
        <v>135</v>
      </c>
      <c r="B43" s="124">
        <f>B42/10*B44</f>
        <v>5597.158416953125</v>
      </c>
      <c r="C43" s="127"/>
      <c r="D43" s="143" t="s">
        <v>10</v>
      </c>
      <c r="E43" s="144" t="s">
        <v>11</v>
      </c>
      <c r="F43" s="144" t="s">
        <v>6</v>
      </c>
      <c r="G43" s="145" t="s">
        <v>91</v>
      </c>
      <c r="H43" s="145" t="s">
        <v>12</v>
      </c>
      <c r="I43" s="97"/>
    </row>
    <row r="44" spans="1:9" ht="15.75">
      <c r="A44" s="156" t="s">
        <v>136</v>
      </c>
      <c r="B44" s="157">
        <f>((G15*5)/44)</f>
        <v>0.9375</v>
      </c>
      <c r="C44" s="125"/>
      <c r="D44" s="146" t="s">
        <v>134</v>
      </c>
      <c r="E44" s="147" t="s">
        <v>2</v>
      </c>
      <c r="F44" s="148">
        <v>1</v>
      </c>
      <c r="G44" s="149">
        <f>G18</f>
        <v>107000</v>
      </c>
      <c r="H44" s="150">
        <f>F44*G44</f>
        <v>107000</v>
      </c>
      <c r="I44" s="97"/>
    </row>
    <row r="45" spans="3:9" ht="15.75">
      <c r="C45" s="125"/>
      <c r="D45" s="151" t="s">
        <v>26</v>
      </c>
      <c r="E45" s="152" t="s">
        <v>27</v>
      </c>
      <c r="F45" s="153">
        <v>15</v>
      </c>
      <c r="G45" s="154"/>
      <c r="H45" s="155"/>
      <c r="I45" s="97"/>
    </row>
    <row r="46" spans="3:9" ht="15.75">
      <c r="C46" s="158"/>
      <c r="D46" s="151" t="s">
        <v>87</v>
      </c>
      <c r="E46" s="152" t="s">
        <v>27</v>
      </c>
      <c r="F46" s="159">
        <v>0</v>
      </c>
      <c r="G46" s="155"/>
      <c r="H46" s="155"/>
      <c r="I46" s="97"/>
    </row>
    <row r="47" spans="1:9" ht="15">
      <c r="A47" s="259"/>
      <c r="B47" s="259"/>
      <c r="C47" s="259"/>
      <c r="D47" s="151" t="s">
        <v>137</v>
      </c>
      <c r="E47" s="152" t="s">
        <v>0</v>
      </c>
      <c r="F47" s="160">
        <f>Depreciação!B17</f>
        <v>70.73</v>
      </c>
      <c r="G47" s="155">
        <f>H44</f>
        <v>107000</v>
      </c>
      <c r="H47" s="155">
        <f>F47*G47/100</f>
        <v>75681.1</v>
      </c>
      <c r="I47" s="97"/>
    </row>
    <row r="48" spans="1:9" ht="16.5" thickBot="1">
      <c r="A48" s="122"/>
      <c r="B48" s="122"/>
      <c r="C48" s="122"/>
      <c r="D48" s="161" t="s">
        <v>138</v>
      </c>
      <c r="E48" s="162" t="s">
        <v>1</v>
      </c>
      <c r="F48" s="163">
        <f>F45*12</f>
        <v>180</v>
      </c>
      <c r="G48" s="164">
        <f>IF(F46&lt;=F45,H47,0)</f>
        <v>75681.1</v>
      </c>
      <c r="H48" s="164">
        <f>_xlfn.IFERROR(G48/F48,0)*12</f>
        <v>5045.406666666667</v>
      </c>
      <c r="I48" s="97"/>
    </row>
    <row r="49" spans="1:9" ht="15.75" thickTop="1">
      <c r="A49" s="121"/>
      <c r="B49" s="127"/>
      <c r="C49" s="127"/>
      <c r="D49" s="103"/>
      <c r="E49" s="103"/>
      <c r="F49" s="259"/>
      <c r="G49" s="259"/>
      <c r="H49" s="259"/>
      <c r="I49" s="97"/>
    </row>
    <row r="50" spans="1:9" ht="15.75">
      <c r="A50" s="342" t="s">
        <v>139</v>
      </c>
      <c r="B50" s="343"/>
      <c r="C50" s="343"/>
      <c r="D50" s="343"/>
      <c r="E50" s="343"/>
      <c r="F50" s="343"/>
      <c r="G50" s="344"/>
      <c r="H50" s="165">
        <f>($B$43+$B$30)</f>
        <v>11804.827416953125</v>
      </c>
      <c r="I50" s="97"/>
    </row>
    <row r="51" spans="1:9" ht="12.75">
      <c r="A51" s="166"/>
      <c r="B51" s="166"/>
      <c r="C51" s="166"/>
      <c r="D51" s="166"/>
      <c r="E51" s="166"/>
      <c r="F51" s="167"/>
      <c r="G51" s="167"/>
      <c r="H51" s="167"/>
      <c r="I51" s="97"/>
    </row>
    <row r="52" spans="1:9" ht="16.5" thickBot="1">
      <c r="A52" s="342" t="s">
        <v>140</v>
      </c>
      <c r="B52" s="343"/>
      <c r="C52" s="343"/>
      <c r="D52" s="343"/>
      <c r="E52" s="343"/>
      <c r="F52" s="343"/>
      <c r="G52" s="344"/>
      <c r="H52" s="167"/>
      <c r="I52" s="97"/>
    </row>
    <row r="53" spans="1:9" ht="16.5" thickBot="1">
      <c r="A53" s="168" t="s">
        <v>10</v>
      </c>
      <c r="B53" s="169" t="s">
        <v>11</v>
      </c>
      <c r="C53" s="169"/>
      <c r="D53" s="169" t="s">
        <v>6</v>
      </c>
      <c r="E53" s="170" t="s">
        <v>91</v>
      </c>
      <c r="F53" s="170" t="s">
        <v>12</v>
      </c>
      <c r="G53" s="171" t="s">
        <v>141</v>
      </c>
      <c r="H53" s="259"/>
      <c r="I53" s="172"/>
    </row>
    <row r="54" spans="1:9" ht="16.5" thickBot="1">
      <c r="A54" s="173" t="s">
        <v>4</v>
      </c>
      <c r="B54" s="174" t="s">
        <v>0</v>
      </c>
      <c r="C54" s="174"/>
      <c r="D54" s="175">
        <f>BDI!C21</f>
        <v>0.2755</v>
      </c>
      <c r="E54" s="150">
        <f>H50</f>
        <v>11804.827416953125</v>
      </c>
      <c r="F54" s="150">
        <f>D54*E54/1</f>
        <v>3252.2299533705864</v>
      </c>
      <c r="G54" s="176"/>
      <c r="H54" s="103"/>
      <c r="I54" s="97"/>
    </row>
    <row r="55" spans="1:9" ht="16.5" thickBot="1">
      <c r="A55" s="177" t="s">
        <v>142</v>
      </c>
      <c r="B55" s="178"/>
      <c r="C55" s="178"/>
      <c r="D55" s="177"/>
      <c r="E55" s="179"/>
      <c r="F55" s="180"/>
      <c r="G55" s="181">
        <f>+F54</f>
        <v>3252.2299533705864</v>
      </c>
      <c r="H55" s="103"/>
      <c r="I55" s="172"/>
    </row>
    <row r="56" spans="1:9" ht="15.75" thickBot="1">
      <c r="A56" s="166"/>
      <c r="B56" s="166"/>
      <c r="C56" s="166"/>
      <c r="D56" s="182"/>
      <c r="E56" s="182"/>
      <c r="F56" s="176"/>
      <c r="G56" s="176"/>
      <c r="H56" s="176"/>
      <c r="I56" s="97"/>
    </row>
    <row r="57" spans="1:9" ht="16.5" thickBot="1">
      <c r="A57" s="183" t="s">
        <v>143</v>
      </c>
      <c r="B57" s="184"/>
      <c r="C57" s="184"/>
      <c r="D57" s="185"/>
      <c r="E57" s="185"/>
      <c r="F57" s="186"/>
      <c r="G57" s="187"/>
      <c r="H57" s="188">
        <f>G55</f>
        <v>3252.2299533705864</v>
      </c>
      <c r="I57" s="97"/>
    </row>
    <row r="58" spans="1:9" ht="13.5" thickBot="1">
      <c r="A58" s="166"/>
      <c r="B58" s="166"/>
      <c r="C58" s="166"/>
      <c r="D58" s="166"/>
      <c r="E58" s="166"/>
      <c r="F58" s="167"/>
      <c r="G58" s="167"/>
      <c r="H58" s="167"/>
      <c r="I58" s="97"/>
    </row>
    <row r="59" spans="1:9" ht="16.5" thickBot="1">
      <c r="A59" s="183" t="s">
        <v>144</v>
      </c>
      <c r="B59" s="184"/>
      <c r="C59" s="184"/>
      <c r="D59" s="184"/>
      <c r="E59" s="184"/>
      <c r="F59" s="189"/>
      <c r="G59" s="190"/>
      <c r="H59" s="191">
        <f>H50+H57</f>
        <v>15057.057370323711</v>
      </c>
      <c r="I59" s="97"/>
    </row>
    <row r="60" spans="1:9" ht="15.75" thickBot="1">
      <c r="A60" s="121"/>
      <c r="B60" s="127"/>
      <c r="C60" s="127"/>
      <c r="D60" s="103"/>
      <c r="E60" s="103"/>
      <c r="F60" s="259"/>
      <c r="G60" s="259"/>
      <c r="H60" s="103"/>
      <c r="I60" s="97"/>
    </row>
    <row r="61" spans="1:9" ht="16.5" thickBot="1">
      <c r="A61" s="192" t="s">
        <v>145</v>
      </c>
      <c r="B61" s="260"/>
      <c r="C61" s="260"/>
      <c r="D61" s="260"/>
      <c r="E61" s="260"/>
      <c r="F61" s="260"/>
      <c r="G61" s="260"/>
      <c r="H61" s="193">
        <f>H59/(G11*G22)</f>
        <v>4.920606983765919</v>
      </c>
      <c r="I61" s="97"/>
    </row>
    <row r="62" spans="1:9" ht="10.5" customHeight="1" thickBot="1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8">
      <c r="A63" s="345" t="s">
        <v>83</v>
      </c>
      <c r="B63" s="346"/>
      <c r="C63" s="346"/>
      <c r="D63" s="346"/>
      <c r="E63" s="346"/>
      <c r="F63" s="347"/>
      <c r="G63" s="348"/>
      <c r="H63" s="103"/>
      <c r="I63" s="103"/>
    </row>
    <row r="64" spans="1:9" ht="18">
      <c r="A64" s="194" t="s">
        <v>82</v>
      </c>
      <c r="B64" s="195"/>
      <c r="C64" s="195"/>
      <c r="D64" s="195"/>
      <c r="E64" s="196"/>
      <c r="F64" s="197" t="s">
        <v>5</v>
      </c>
      <c r="G64" s="198" t="s">
        <v>0</v>
      </c>
      <c r="H64" s="103"/>
      <c r="I64" s="103"/>
    </row>
    <row r="65" spans="1:9" ht="18">
      <c r="A65" s="199" t="str">
        <f>A25</f>
        <v>1- CUSTO VARIÁVEL</v>
      </c>
      <c r="B65" s="200"/>
      <c r="C65" s="200"/>
      <c r="D65" s="201"/>
      <c r="E65" s="202"/>
      <c r="F65" s="196">
        <f>SUM(F66:F68)</f>
        <v>6207.669</v>
      </c>
      <c r="G65" s="203">
        <f>F65/$F$74</f>
        <v>0.4122763729541758</v>
      </c>
      <c r="H65" s="103"/>
      <c r="I65" s="103"/>
    </row>
    <row r="66" spans="1:9" ht="18">
      <c r="A66" s="204" t="str">
        <f>A26</f>
        <v>1.1 Combustível </v>
      </c>
      <c r="B66" s="205"/>
      <c r="C66" s="205"/>
      <c r="D66" s="195"/>
      <c r="E66" s="206"/>
      <c r="F66" s="206">
        <f>B26</f>
        <v>4345.2</v>
      </c>
      <c r="G66" s="207">
        <f aca="true" t="shared" si="0" ref="G66:G72">F66/$F$74</f>
        <v>0.2885822835851081</v>
      </c>
      <c r="H66" s="103"/>
      <c r="I66" s="103"/>
    </row>
    <row r="67" spans="1:9" ht="18">
      <c r="A67" s="208" t="str">
        <f>A27</f>
        <v>1.2 Manutenção e insumos </v>
      </c>
      <c r="B67" s="209"/>
      <c r="C67" s="209"/>
      <c r="D67" s="210"/>
      <c r="E67" s="211"/>
      <c r="F67" s="212">
        <f>B27</f>
        <v>1530</v>
      </c>
      <c r="G67" s="207">
        <f t="shared" si="0"/>
        <v>0.10161348013560145</v>
      </c>
      <c r="H67" s="103"/>
      <c r="I67" s="103"/>
    </row>
    <row r="68" spans="1:9" ht="18">
      <c r="A68" s="208" t="str">
        <f>A28</f>
        <v>1.3 Pneus</v>
      </c>
      <c r="B68" s="209"/>
      <c r="C68" s="209"/>
      <c r="D68" s="210"/>
      <c r="E68" s="211"/>
      <c r="F68" s="206">
        <f>B28</f>
        <v>332.469</v>
      </c>
      <c r="G68" s="207">
        <f t="shared" si="0"/>
        <v>0.022080609233466195</v>
      </c>
      <c r="H68" s="103"/>
      <c r="I68" s="103"/>
    </row>
    <row r="69" spans="1:9" ht="18">
      <c r="A69" s="213" t="str">
        <f>A33</f>
        <v>2 - TOTAL CUSTO FIXO MENSAL </v>
      </c>
      <c r="B69" s="209"/>
      <c r="C69" s="209"/>
      <c r="D69" s="210"/>
      <c r="E69" s="211"/>
      <c r="F69" s="196">
        <f>SUM(F70)</f>
        <v>5597.158416953125</v>
      </c>
      <c r="G69" s="203">
        <f t="shared" si="0"/>
        <v>0.37172989909600057</v>
      </c>
      <c r="H69" s="103"/>
      <c r="I69" s="103"/>
    </row>
    <row r="70" spans="1:9" ht="18">
      <c r="A70" s="208" t="str">
        <f>A43</f>
        <v>2.1 TOTAL CUSTO FIXO MENSAL</v>
      </c>
      <c r="B70" s="209"/>
      <c r="C70" s="209"/>
      <c r="D70" s="210"/>
      <c r="E70" s="211"/>
      <c r="F70" s="206">
        <f>B43</f>
        <v>5597.158416953125</v>
      </c>
      <c r="G70" s="207">
        <f>F70/$F$74</f>
        <v>0.37172989909600057</v>
      </c>
      <c r="H70" s="103"/>
      <c r="I70" s="103"/>
    </row>
    <row r="71" spans="1:9" ht="18">
      <c r="A71" s="214" t="str">
        <f>A50</f>
        <v>3- CUSTO TOTAL MENSAL COM DESPESAS OPERACIONAIS</v>
      </c>
      <c r="B71" s="215"/>
      <c r="C71" s="215"/>
      <c r="D71" s="215"/>
      <c r="E71" s="216"/>
      <c r="F71" s="196">
        <f>F65+F69</f>
        <v>11804.827416953125</v>
      </c>
      <c r="G71" s="203">
        <f t="shared" si="0"/>
        <v>0.7840062720501764</v>
      </c>
      <c r="H71" s="103"/>
      <c r="I71" s="103"/>
    </row>
    <row r="72" spans="1:9" ht="18">
      <c r="A72" s="217" t="str">
        <f>A52</f>
        <v>4- BENEFÍCIOS E DESPESAS INDIRETAS </v>
      </c>
      <c r="B72" s="218"/>
      <c r="C72" s="218"/>
      <c r="D72" s="215"/>
      <c r="E72" s="196"/>
      <c r="F72" s="196">
        <f>H57</f>
        <v>3252.2299533705864</v>
      </c>
      <c r="G72" s="203">
        <f t="shared" si="0"/>
        <v>0.21599372794982363</v>
      </c>
      <c r="H72" s="103"/>
      <c r="I72" s="103"/>
    </row>
    <row r="73" spans="1:9" ht="18.75" thickBot="1">
      <c r="A73" s="219"/>
      <c r="B73" s="220"/>
      <c r="C73" s="220"/>
      <c r="D73" s="221"/>
      <c r="E73" s="222"/>
      <c r="F73" s="223"/>
      <c r="G73" s="224"/>
      <c r="H73" s="103"/>
      <c r="I73" s="103"/>
    </row>
    <row r="74" spans="1:9" ht="18.75" thickBot="1">
      <c r="A74" s="225" t="str">
        <f>A59</f>
        <v>5- PREÇO MENSAL TOTAL COM O TRANSPORTE ESCOLAR </v>
      </c>
      <c r="B74" s="226"/>
      <c r="C74" s="226"/>
      <c r="D74" s="227"/>
      <c r="E74" s="227"/>
      <c r="F74" s="227">
        <f>F71+F72</f>
        <v>15057.057370323711</v>
      </c>
      <c r="G74" s="228">
        <f>G71+G72</f>
        <v>1</v>
      </c>
      <c r="H74" s="103"/>
      <c r="I74" s="103"/>
    </row>
    <row r="75" spans="1:9" ht="18">
      <c r="A75" s="229"/>
      <c r="B75" s="230"/>
      <c r="C75" s="230"/>
      <c r="D75" s="230"/>
      <c r="E75" s="230"/>
      <c r="F75" s="230"/>
      <c r="G75" s="231"/>
      <c r="H75" s="103"/>
      <c r="I75" s="103"/>
    </row>
    <row r="76" spans="1:9" ht="18">
      <c r="A76" s="232" t="s">
        <v>146</v>
      </c>
      <c r="B76" s="233"/>
      <c r="C76" s="233"/>
      <c r="D76" s="233"/>
      <c r="E76" s="233"/>
      <c r="F76" s="233"/>
      <c r="G76" s="234">
        <f>G11</f>
        <v>153</v>
      </c>
      <c r="H76" s="103"/>
      <c r="I76" s="103"/>
    </row>
    <row r="77" spans="1:9" ht="18">
      <c r="A77" s="232" t="s">
        <v>147</v>
      </c>
      <c r="B77" s="233"/>
      <c r="C77" s="233"/>
      <c r="D77" s="233"/>
      <c r="E77" s="233"/>
      <c r="F77" s="233"/>
      <c r="G77" s="235">
        <f>G22</f>
        <v>20</v>
      </c>
      <c r="H77" s="103"/>
      <c r="I77" s="103"/>
    </row>
    <row r="78" spans="1:8" ht="18">
      <c r="A78" s="232" t="s">
        <v>148</v>
      </c>
      <c r="B78" s="233"/>
      <c r="C78" s="233"/>
      <c r="D78" s="233"/>
      <c r="E78" s="233"/>
      <c r="F78" s="233"/>
      <c r="G78" s="234">
        <f>G76*G77</f>
        <v>3060</v>
      </c>
      <c r="H78" s="103"/>
    </row>
    <row r="79" spans="1:9" ht="18.75" thickBot="1">
      <c r="A79" s="236" t="s">
        <v>149</v>
      </c>
      <c r="B79" s="237"/>
      <c r="C79" s="237"/>
      <c r="D79" s="237"/>
      <c r="E79" s="237"/>
      <c r="F79" s="237"/>
      <c r="G79" s="238">
        <f>F74/G78</f>
        <v>4.920606983765919</v>
      </c>
      <c r="H79" s="103"/>
      <c r="I79" s="103"/>
    </row>
    <row r="80" spans="1:9" ht="15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18">
      <c r="A81" s="239" t="s">
        <v>231</v>
      </c>
      <c r="B81" s="103"/>
      <c r="C81" s="103"/>
      <c r="D81" s="103"/>
      <c r="E81" s="103"/>
      <c r="F81" s="103"/>
      <c r="G81" s="103"/>
      <c r="H81" s="103"/>
      <c r="I81" s="103"/>
    </row>
    <row r="82" spans="1:9" ht="15.75">
      <c r="A82" s="240" t="s">
        <v>219</v>
      </c>
      <c r="B82" s="103"/>
      <c r="C82" s="103"/>
      <c r="D82" s="103"/>
      <c r="E82" s="103"/>
      <c r="F82" s="103"/>
      <c r="G82" s="103"/>
      <c r="H82" s="103"/>
      <c r="I82" s="103"/>
    </row>
    <row r="83" spans="1:9" ht="15.75">
      <c r="A83" s="240" t="s">
        <v>150</v>
      </c>
      <c r="B83" s="241">
        <f>G11</f>
        <v>153</v>
      </c>
      <c r="C83" s="241"/>
      <c r="D83" s="242" t="s">
        <v>151</v>
      </c>
      <c r="E83" s="103"/>
      <c r="F83" s="103"/>
      <c r="G83" s="103"/>
      <c r="H83" s="103"/>
      <c r="I83" s="103"/>
    </row>
    <row r="84" spans="1:9" ht="15.75">
      <c r="A84" s="240" t="s">
        <v>212</v>
      </c>
      <c r="B84" s="242"/>
      <c r="C84" s="242"/>
      <c r="D84" s="242"/>
      <c r="E84" s="103"/>
      <c r="F84" s="103"/>
      <c r="G84" s="103"/>
      <c r="H84" s="103"/>
      <c r="I84" s="103"/>
    </row>
    <row r="85" spans="1:9" ht="15.75">
      <c r="A85" s="240" t="s">
        <v>152</v>
      </c>
      <c r="B85" s="243"/>
      <c r="C85" s="243"/>
      <c r="D85" s="244">
        <f>H61</f>
        <v>4.920606983765919</v>
      </c>
      <c r="E85" s="245"/>
      <c r="F85" s="341"/>
      <c r="G85" s="341"/>
      <c r="H85" s="341"/>
      <c r="I85" s="103"/>
    </row>
    <row r="86" spans="1:9" ht="15.75">
      <c r="A86" s="240"/>
      <c r="B86" s="97"/>
      <c r="C86" s="97"/>
      <c r="D86" s="97"/>
      <c r="E86" s="97"/>
      <c r="F86" s="341"/>
      <c r="G86" s="341"/>
      <c r="H86" s="341"/>
      <c r="I86" s="103"/>
    </row>
    <row r="87" spans="1:9" ht="18">
      <c r="A87" s="246" t="s">
        <v>153</v>
      </c>
      <c r="B87" s="97"/>
      <c r="C87" s="97"/>
      <c r="D87" s="97"/>
      <c r="E87" s="97"/>
      <c r="F87" s="97"/>
      <c r="G87" s="97"/>
      <c r="H87" s="97"/>
      <c r="I87" s="103"/>
    </row>
    <row r="88" spans="1:9" ht="18">
      <c r="A88" s="247"/>
      <c r="B88" s="247"/>
      <c r="C88" s="247"/>
      <c r="D88" s="247"/>
      <c r="E88" s="247"/>
      <c r="F88" s="247"/>
      <c r="G88" s="247"/>
      <c r="H88" s="247"/>
      <c r="I88" s="97"/>
    </row>
    <row r="89" spans="1:9" ht="18">
      <c r="A89" s="247" t="s">
        <v>154</v>
      </c>
      <c r="B89" s="247"/>
      <c r="C89" s="247"/>
      <c r="D89" s="247"/>
      <c r="E89" s="247"/>
      <c r="F89" s="247"/>
      <c r="G89" s="247"/>
      <c r="H89" s="247"/>
      <c r="I89" s="97"/>
    </row>
    <row r="90" spans="1:9" ht="18">
      <c r="A90" s="247" t="s">
        <v>155</v>
      </c>
      <c r="B90" s="247"/>
      <c r="C90" s="247"/>
      <c r="D90" s="247"/>
      <c r="E90" s="247"/>
      <c r="F90" s="247"/>
      <c r="G90" s="247"/>
      <c r="H90" s="247"/>
      <c r="I90" s="97"/>
    </row>
    <row r="91" spans="1:9" ht="18">
      <c r="A91" s="247" t="s">
        <v>156</v>
      </c>
      <c r="B91" s="247"/>
      <c r="C91" s="247"/>
      <c r="D91" s="247"/>
      <c r="E91" s="247"/>
      <c r="F91" s="247"/>
      <c r="G91" s="247"/>
      <c r="H91" s="247"/>
      <c r="I91" s="97"/>
    </row>
    <row r="92" spans="1:9" ht="18">
      <c r="A92" s="247" t="s">
        <v>157</v>
      </c>
      <c r="B92" s="247"/>
      <c r="C92" s="247"/>
      <c r="D92" s="247"/>
      <c r="E92" s="247"/>
      <c r="F92" s="247"/>
      <c r="G92" s="247"/>
      <c r="H92" s="247"/>
      <c r="I92" s="97"/>
    </row>
    <row r="93" spans="1:9" ht="18">
      <c r="A93" s="247" t="s">
        <v>158</v>
      </c>
      <c r="B93" s="247"/>
      <c r="C93" s="247"/>
      <c r="D93" s="247"/>
      <c r="E93" s="247"/>
      <c r="F93" s="247"/>
      <c r="G93" s="247"/>
      <c r="H93" s="247"/>
      <c r="I93" s="97"/>
    </row>
    <row r="94" spans="1:9" ht="18">
      <c r="A94" s="247" t="s">
        <v>319</v>
      </c>
      <c r="B94" s="247" t="str">
        <f>B17</f>
        <v>Veículo no mínimo de 16 lugares</v>
      </c>
      <c r="C94" s="247"/>
      <c r="D94" s="247"/>
      <c r="E94" s="247"/>
      <c r="F94" s="247"/>
      <c r="G94" s="247"/>
      <c r="H94" s="247"/>
      <c r="I94" s="97"/>
    </row>
    <row r="95" spans="1:9" ht="18">
      <c r="A95" s="247" t="s">
        <v>187</v>
      </c>
      <c r="B95" s="247"/>
      <c r="C95" s="247"/>
      <c r="D95" s="247"/>
      <c r="E95" s="247"/>
      <c r="F95" s="247"/>
      <c r="G95" s="247"/>
      <c r="H95" s="247"/>
      <c r="I95" s="97"/>
    </row>
    <row r="96" spans="1:9" ht="18">
      <c r="A96" s="247" t="s">
        <v>159</v>
      </c>
      <c r="B96" s="247" t="str">
        <f>A18</f>
        <v>Veículo no máximo 25 anos de uso (fabricação acima de 1998) - Base Tabela FIPE</v>
      </c>
      <c r="C96" s="247"/>
      <c r="D96" s="247"/>
      <c r="E96" s="247"/>
      <c r="F96" s="247"/>
      <c r="G96" s="247"/>
      <c r="H96" s="247"/>
      <c r="I96" s="97"/>
    </row>
    <row r="97" spans="1:9" ht="18">
      <c r="A97" s="247" t="s">
        <v>204</v>
      </c>
      <c r="B97" s="247"/>
      <c r="C97" s="247"/>
      <c r="D97" s="247"/>
      <c r="E97" s="247"/>
      <c r="F97" s="247"/>
      <c r="G97" s="247"/>
      <c r="H97" s="247"/>
      <c r="I97" s="97"/>
    </row>
    <row r="98" spans="1:9" ht="18">
      <c r="A98" s="247" t="s">
        <v>185</v>
      </c>
      <c r="B98" s="247"/>
      <c r="C98" s="247"/>
      <c r="D98" s="247"/>
      <c r="E98" s="247"/>
      <c r="F98" s="247"/>
      <c r="G98" s="247"/>
      <c r="H98" s="247"/>
      <c r="I98" s="97"/>
    </row>
    <row r="99" spans="1:9" ht="18">
      <c r="A99" s="247" t="s">
        <v>258</v>
      </c>
      <c r="B99" s="247"/>
      <c r="C99" s="247">
        <f>G20</f>
        <v>4.5</v>
      </c>
      <c r="D99" s="247" t="s">
        <v>259</v>
      </c>
      <c r="E99" s="247" t="s">
        <v>257</v>
      </c>
      <c r="F99" s="247"/>
      <c r="G99" s="247"/>
      <c r="H99" s="247"/>
      <c r="I99" s="97"/>
    </row>
    <row r="100" spans="1:9" ht="18">
      <c r="A100" s="247" t="s">
        <v>189</v>
      </c>
      <c r="B100" s="247"/>
      <c r="C100" s="247"/>
      <c r="D100" s="247"/>
      <c r="E100" s="247"/>
      <c r="F100" s="247"/>
      <c r="G100" s="247"/>
      <c r="H100" s="247"/>
      <c r="I100" s="97"/>
    </row>
    <row r="101" spans="1:9" ht="18">
      <c r="A101" s="247" t="s">
        <v>190</v>
      </c>
      <c r="B101" s="247"/>
      <c r="C101" s="247"/>
      <c r="D101" s="247"/>
      <c r="E101" s="247"/>
      <c r="F101" s="247"/>
      <c r="G101" s="247"/>
      <c r="H101" s="247"/>
      <c r="I101" s="97"/>
    </row>
    <row r="102" spans="1:9" ht="18">
      <c r="A102" s="247" t="s">
        <v>207</v>
      </c>
      <c r="B102" s="247"/>
      <c r="C102" s="247"/>
      <c r="D102" s="247"/>
      <c r="E102" s="247"/>
      <c r="F102" s="247"/>
      <c r="G102" s="247"/>
      <c r="H102" s="247"/>
      <c r="I102" s="97"/>
    </row>
    <row r="103" spans="1:9" ht="18">
      <c r="A103" s="247" t="s">
        <v>208</v>
      </c>
      <c r="B103" s="247"/>
      <c r="C103" s="247"/>
      <c r="D103" s="247"/>
      <c r="E103" s="247"/>
      <c r="F103" s="247"/>
      <c r="G103" s="247"/>
      <c r="H103" s="247"/>
      <c r="I103" s="97"/>
    </row>
    <row r="104" spans="1:9" ht="18">
      <c r="A104" s="247" t="s">
        <v>247</v>
      </c>
      <c r="B104" s="247"/>
      <c r="C104" s="247"/>
      <c r="D104" s="247"/>
      <c r="E104" s="247"/>
      <c r="F104" s="247"/>
      <c r="G104" s="247"/>
      <c r="H104" s="247"/>
      <c r="I104" s="97"/>
    </row>
    <row r="105" spans="1:9" ht="18">
      <c r="A105" s="247" t="s">
        <v>192</v>
      </c>
      <c r="B105" s="247"/>
      <c r="C105" s="247"/>
      <c r="D105" s="247"/>
      <c r="E105" s="247"/>
      <c r="F105" s="247"/>
      <c r="G105" s="247"/>
      <c r="H105" s="247"/>
      <c r="I105" s="97"/>
    </row>
    <row r="106" spans="1:9" ht="18">
      <c r="A106" s="247" t="s">
        <v>160</v>
      </c>
      <c r="B106" s="247"/>
      <c r="C106" s="247"/>
      <c r="D106" s="247"/>
      <c r="E106" s="247"/>
      <c r="F106" s="247"/>
      <c r="G106" s="247"/>
      <c r="H106" s="247"/>
      <c r="I106" s="97"/>
    </row>
    <row r="107" spans="1:9" ht="18">
      <c r="A107" s="247" t="s">
        <v>161</v>
      </c>
      <c r="B107" s="247"/>
      <c r="C107" s="247"/>
      <c r="D107" s="247"/>
      <c r="E107" s="247"/>
      <c r="F107" s="247"/>
      <c r="G107" s="247"/>
      <c r="H107" s="247"/>
      <c r="I107" s="97"/>
    </row>
    <row r="108" spans="1:9" ht="18">
      <c r="A108" s="247" t="s">
        <v>188</v>
      </c>
      <c r="B108" s="247"/>
      <c r="C108" s="247"/>
      <c r="D108" s="247"/>
      <c r="E108" s="247"/>
      <c r="F108" s="247"/>
      <c r="G108" s="247"/>
      <c r="H108" s="247"/>
      <c r="I108" s="97"/>
    </row>
    <row r="109" spans="1:9" ht="18">
      <c r="A109" s="247" t="s">
        <v>217</v>
      </c>
      <c r="B109" s="247"/>
      <c r="C109" s="247"/>
      <c r="D109" s="247"/>
      <c r="E109" s="247"/>
      <c r="F109" s="247"/>
      <c r="G109" s="247"/>
      <c r="H109" s="247"/>
      <c r="I109" s="97"/>
    </row>
    <row r="110" spans="1:9" ht="18">
      <c r="A110" s="247" t="s">
        <v>317</v>
      </c>
      <c r="B110" s="247"/>
      <c r="C110" s="247"/>
      <c r="D110" s="247"/>
      <c r="E110" s="247"/>
      <c r="F110" s="247"/>
      <c r="G110" s="247"/>
      <c r="H110" s="247"/>
      <c r="I110" s="97"/>
    </row>
    <row r="111" spans="1:9" ht="18">
      <c r="A111" s="247" t="s">
        <v>315</v>
      </c>
      <c r="B111" s="247"/>
      <c r="C111" s="247"/>
      <c r="D111" s="247"/>
      <c r="E111" s="247"/>
      <c r="F111" s="247"/>
      <c r="G111" s="247"/>
      <c r="H111" s="247"/>
      <c r="I111" s="97"/>
    </row>
    <row r="112" spans="1:9" ht="18">
      <c r="A112" s="247" t="s">
        <v>316</v>
      </c>
      <c r="B112" s="247"/>
      <c r="C112" s="247"/>
      <c r="D112" s="247"/>
      <c r="E112" s="247"/>
      <c r="F112" s="247"/>
      <c r="G112" s="247"/>
      <c r="H112" s="247"/>
      <c r="I112" s="97"/>
    </row>
    <row r="113" spans="1:9" ht="18">
      <c r="A113" s="247" t="s">
        <v>162</v>
      </c>
      <c r="B113" s="247"/>
      <c r="C113" s="247"/>
      <c r="D113" s="247"/>
      <c r="E113" s="247"/>
      <c r="F113" s="247"/>
      <c r="G113" s="247"/>
      <c r="H113" s="247"/>
      <c r="I113" s="97"/>
    </row>
    <row r="114" spans="1:9" ht="18">
      <c r="A114" s="247" t="s">
        <v>248</v>
      </c>
      <c r="B114" s="247"/>
      <c r="C114" s="247"/>
      <c r="D114" s="247"/>
      <c r="E114" s="247"/>
      <c r="F114" s="247"/>
      <c r="G114" s="247"/>
      <c r="H114" s="247"/>
      <c r="I114" s="97"/>
    </row>
    <row r="115" spans="1:9" ht="18">
      <c r="A115" s="247" t="s">
        <v>213</v>
      </c>
      <c r="B115" s="247"/>
      <c r="C115" s="247"/>
      <c r="D115" s="247"/>
      <c r="E115" s="247"/>
      <c r="F115" s="247"/>
      <c r="G115" s="247"/>
      <c r="H115" s="247"/>
      <c r="I115" s="97"/>
    </row>
    <row r="116" spans="1:9" ht="18">
      <c r="A116" s="247" t="s">
        <v>163</v>
      </c>
      <c r="B116" s="247"/>
      <c r="C116" s="247"/>
      <c r="D116" s="247"/>
      <c r="E116" s="247"/>
      <c r="F116" s="247"/>
      <c r="G116" s="247"/>
      <c r="H116" s="247"/>
      <c r="I116" s="97"/>
    </row>
    <row r="117" spans="1:9" ht="18">
      <c r="A117" s="247" t="s">
        <v>164</v>
      </c>
      <c r="B117" s="247"/>
      <c r="C117" s="247"/>
      <c r="D117" s="247"/>
      <c r="E117" s="247"/>
      <c r="F117" s="247"/>
      <c r="G117" s="247"/>
      <c r="H117" s="247"/>
      <c r="I117" s="97"/>
    </row>
    <row r="118" spans="1:9" ht="18">
      <c r="A118" s="247" t="s">
        <v>165</v>
      </c>
      <c r="B118" s="247"/>
      <c r="C118" s="247"/>
      <c r="D118" s="247"/>
      <c r="E118" s="247"/>
      <c r="F118" s="247"/>
      <c r="G118" s="247"/>
      <c r="H118" s="247"/>
      <c r="I118" s="97"/>
    </row>
    <row r="119" spans="1:9" ht="18">
      <c r="A119" s="247" t="s">
        <v>166</v>
      </c>
      <c r="B119" s="247"/>
      <c r="C119" s="247"/>
      <c r="D119" s="247"/>
      <c r="E119" s="247"/>
      <c r="F119" s="247"/>
      <c r="G119" s="247"/>
      <c r="H119" s="247"/>
      <c r="I119" s="97"/>
    </row>
    <row r="120" spans="1:9" ht="18">
      <c r="A120" s="247" t="s">
        <v>209</v>
      </c>
      <c r="B120" s="247"/>
      <c r="C120" s="247"/>
      <c r="D120" s="247"/>
      <c r="E120" s="247"/>
      <c r="F120" s="247"/>
      <c r="G120" s="247"/>
      <c r="H120" s="247"/>
      <c r="I120" s="97"/>
    </row>
    <row r="121" spans="1:9" ht="18">
      <c r="A121" s="247" t="s">
        <v>249</v>
      </c>
      <c r="B121" s="97"/>
      <c r="C121" s="97"/>
      <c r="D121" s="97"/>
      <c r="E121" s="97"/>
      <c r="F121" s="97"/>
      <c r="G121" s="97"/>
      <c r="H121" s="97"/>
      <c r="I121" s="97"/>
    </row>
    <row r="122" spans="1:9" ht="18">
      <c r="A122" s="247" t="s">
        <v>214</v>
      </c>
      <c r="B122" s="97"/>
      <c r="C122" s="97"/>
      <c r="D122" s="97"/>
      <c r="E122" s="97"/>
      <c r="F122" s="97"/>
      <c r="G122" s="97"/>
      <c r="H122" s="97"/>
      <c r="I122" s="97"/>
    </row>
    <row r="123" spans="1:9" ht="18">
      <c r="A123" s="247" t="s">
        <v>167</v>
      </c>
      <c r="B123" s="97"/>
      <c r="C123" s="97"/>
      <c r="D123" s="97"/>
      <c r="E123" s="97"/>
      <c r="F123" s="97"/>
      <c r="G123" s="97"/>
      <c r="H123" s="97"/>
      <c r="I123" s="97"/>
    </row>
    <row r="124" spans="1:9" ht="18">
      <c r="A124" s="247" t="s">
        <v>168</v>
      </c>
      <c r="B124" s="97"/>
      <c r="C124" s="97"/>
      <c r="D124" s="97"/>
      <c r="E124" s="97"/>
      <c r="F124" s="97"/>
      <c r="G124" s="97"/>
      <c r="H124" s="97"/>
      <c r="I124" s="97"/>
    </row>
    <row r="125" spans="1:9" ht="18">
      <c r="A125" s="247" t="s">
        <v>169</v>
      </c>
      <c r="B125" s="97"/>
      <c r="C125" s="97"/>
      <c r="D125" s="97"/>
      <c r="E125" s="97"/>
      <c r="F125" s="97"/>
      <c r="G125" s="97"/>
      <c r="H125" s="97"/>
      <c r="I125" s="97"/>
    </row>
    <row r="126" spans="1:9" ht="18">
      <c r="A126" s="247" t="s">
        <v>170</v>
      </c>
      <c r="B126" s="97"/>
      <c r="C126" s="97"/>
      <c r="D126" s="97"/>
      <c r="E126" s="97"/>
      <c r="F126" s="97"/>
      <c r="G126" s="97"/>
      <c r="H126" s="97"/>
      <c r="I126" s="97"/>
    </row>
    <row r="127" spans="1:9" ht="18">
      <c r="A127" s="247" t="s">
        <v>171</v>
      </c>
      <c r="B127" s="97"/>
      <c r="C127" s="97"/>
      <c r="D127" s="97"/>
      <c r="E127" s="97"/>
      <c r="F127" s="97"/>
      <c r="G127" s="97"/>
      <c r="H127" s="97"/>
      <c r="I127" s="97"/>
    </row>
    <row r="128" spans="1:9" ht="18">
      <c r="A128" s="247" t="s">
        <v>216</v>
      </c>
      <c r="B128" s="97"/>
      <c r="C128" s="97"/>
      <c r="D128" s="97"/>
      <c r="E128" s="97"/>
      <c r="F128" s="97"/>
      <c r="G128" s="97"/>
      <c r="H128" s="97"/>
      <c r="I128" s="97"/>
    </row>
    <row r="129" spans="1:9" ht="16.5">
      <c r="A129" s="248"/>
      <c r="B129" s="97"/>
      <c r="C129" s="97"/>
      <c r="D129" s="97"/>
      <c r="E129" s="97"/>
      <c r="F129" s="97"/>
      <c r="G129" s="97"/>
      <c r="H129" s="97"/>
      <c r="I129" s="97"/>
    </row>
    <row r="130" spans="1:9" ht="18">
      <c r="A130" s="247" t="str">
        <f>Res!A25</f>
        <v>Não-Me-Toque, 23 de Janeiro de 2023</v>
      </c>
      <c r="B130" s="97"/>
      <c r="C130" s="97"/>
      <c r="D130" s="97"/>
      <c r="E130" s="97"/>
      <c r="F130" s="97"/>
      <c r="G130" s="97"/>
      <c r="H130" s="97"/>
      <c r="I130" s="97"/>
    </row>
    <row r="131" spans="1:9" ht="18">
      <c r="A131" s="247"/>
      <c r="B131" s="97"/>
      <c r="C131" s="97"/>
      <c r="D131" s="97"/>
      <c r="E131" s="97"/>
      <c r="F131" s="97"/>
      <c r="G131" s="97"/>
      <c r="H131" s="97"/>
      <c r="I131" s="97"/>
    </row>
    <row r="132" spans="1:9" ht="18">
      <c r="A132" s="247"/>
      <c r="B132" s="97"/>
      <c r="C132" s="97"/>
      <c r="D132" s="97"/>
      <c r="E132" s="97"/>
      <c r="F132" s="97"/>
      <c r="G132" s="97"/>
      <c r="H132" s="97"/>
      <c r="I132" s="97"/>
    </row>
    <row r="133" spans="1:9" ht="18">
      <c r="A133" s="247" t="s">
        <v>172</v>
      </c>
      <c r="B133" s="97"/>
      <c r="C133" s="97"/>
      <c r="D133" s="97"/>
      <c r="E133" s="97"/>
      <c r="F133" s="97"/>
      <c r="G133" s="97"/>
      <c r="H133" s="97"/>
      <c r="I133" s="97"/>
    </row>
    <row r="134" spans="1:9" ht="12.75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9" ht="12.75">
      <c r="A135" s="97"/>
      <c r="B135" s="97"/>
      <c r="C135" s="97"/>
      <c r="D135" s="97"/>
      <c r="E135" s="97"/>
      <c r="F135" s="97"/>
      <c r="G135" s="97"/>
      <c r="H135" s="97"/>
      <c r="I135" s="97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sheetProtection/>
  <mergeCells count="25">
    <mergeCell ref="A63:G63"/>
    <mergeCell ref="F85:H86"/>
    <mergeCell ref="A21:F21"/>
    <mergeCell ref="A22:F22"/>
    <mergeCell ref="A23:F23"/>
    <mergeCell ref="A33:H33"/>
    <mergeCell ref="A50:G50"/>
    <mergeCell ref="A52:G52"/>
    <mergeCell ref="A19:F19"/>
    <mergeCell ref="A20:F20"/>
    <mergeCell ref="A1:H1"/>
    <mergeCell ref="A2:H2"/>
    <mergeCell ref="A3:H3"/>
    <mergeCell ref="A4:H4"/>
    <mergeCell ref="A11:F11"/>
    <mergeCell ref="A14:F14"/>
    <mergeCell ref="A15:F15"/>
    <mergeCell ref="A16:F16"/>
    <mergeCell ref="B8:C8"/>
    <mergeCell ref="B10:C10"/>
    <mergeCell ref="B7:C7"/>
    <mergeCell ref="B12:C12"/>
    <mergeCell ref="B13:C13"/>
    <mergeCell ref="A18:F18"/>
    <mergeCell ref="B17:G17"/>
  </mergeCells>
  <printOptions/>
  <pageMargins left="0.7086614173228347" right="0.7086614173228347" top="0.7874015748031497" bottom="0.7874015748031497" header="0.5118110236220472" footer="0.7086614173228347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/>
  <dc:creator>Douglas Durante</dc:creator>
  <cp:keywords/>
  <dc:description/>
  <cp:lastModifiedBy>Ws</cp:lastModifiedBy>
  <cp:lastPrinted>2022-08-25T12:02:02Z</cp:lastPrinted>
  <dcterms:created xsi:type="dcterms:W3CDTF">2000-12-13T10:02:50Z</dcterms:created>
  <dcterms:modified xsi:type="dcterms:W3CDTF">2023-01-23T19:05:09Z</dcterms:modified>
  <cp:category/>
  <cp:version/>
  <cp:contentType/>
  <cp:contentStatus/>
</cp:coreProperties>
</file>