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. Limpeza" sheetId="1" r:id="rId1"/>
    <sheet name="2.Encargos Sociais" sheetId="2" r:id="rId2"/>
    <sheet name="3.CAGED" sheetId="3" r:id="rId3"/>
    <sheet name="4.BDI" sheetId="4" r:id="rId4"/>
    <sheet name="5. Depreciação" sheetId="5" r:id="rId5"/>
    <sheet name="Horários" sheetId="6" r:id="rId6"/>
  </sheets>
  <definedNames>
    <definedName name="AbaDeprec">'5. Depreciação'!$A$1</definedName>
    <definedName name="AbaRemun">NA()</definedName>
    <definedName name="_xlfn_IFERROR">#N/A</definedName>
    <definedName name="_xlnm.Print_Area" localSheetId="0">'1. Limpeza'!$A$1:$F$127</definedName>
    <definedName name="_xlnm.Print_Titles" localSheetId="0">'1. Limpeza'!$1:$1</definedName>
    <definedName name="_xlnm_Print_Area" localSheetId="0">'1. Limpeza'!$A$1:$F$127</definedName>
    <definedName name="_xlnm_Print_Titles" localSheetId="0">'1. Limpeza'!$1:$1</definedName>
    <definedName name="_xlnm.Print_Area" localSheetId="1">'2.Encargos Sociais'!$A$1:$C$36</definedName>
    <definedName name="_xlnm_Print_Area" localSheetId="1">'2.Encargos Sociais'!$A$1:$C$36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<sst xmlns="http://schemas.openxmlformats.org/spreadsheetml/2006/main" count="328" uniqueCount="241">
  <si>
    <t>ANEXO VIII – PLANILHA DE CUSTOS</t>
  </si>
  <si>
    <t>Contratação serviços de Ajardinamento nas Escolas Municipais do Município de Não-Me-Toque/RS – 40 HORAS SEMANAIS</t>
  </si>
  <si>
    <t>Planilha de Composição de Custos</t>
  </si>
  <si>
    <t>Orçamento Sintético</t>
  </si>
  <si>
    <t>Descrição do Item</t>
  </si>
  <si>
    <t>Custo (R$/mês)</t>
  </si>
  <si>
    <t>%</t>
  </si>
  <si>
    <t>PREÇO TOTAL MENSAL</t>
  </si>
  <si>
    <t>Salário Normativo:</t>
  </si>
  <si>
    <t>a) Categoria: Profissional de prestador de serviços de  jardinagem CBO 6220</t>
  </si>
  <si>
    <t>Valor do piso para 220 horas mensais</t>
  </si>
  <si>
    <t>Quantitativos</t>
  </si>
  <si>
    <t>Mão-de-obra</t>
  </si>
  <si>
    <t>Quantidade</t>
  </si>
  <si>
    <t>Profissional de Prestador de Serviços de jardinagem</t>
  </si>
  <si>
    <t>Piso da categoria</t>
  </si>
  <si>
    <t>Adicional de Insalubridade</t>
  </si>
  <si>
    <t>Tempo trabalho por mês (Horas) + (DSR)</t>
  </si>
  <si>
    <t xml:space="preserve">Piso da categoria  + 4,56% IPCA Base 2018  </t>
  </si>
  <si>
    <t>Tempo trabalho por mês (Horas)</t>
  </si>
  <si>
    <t>Total de mão-de-obra (postos de trabalho)</t>
  </si>
  <si>
    <t>Fator de utilização (FU)</t>
  </si>
  <si>
    <t>1. Mão-de-obra</t>
  </si>
  <si>
    <t>1.1. Categoria Profissional de Prestador de Serviços de jardinagem</t>
  </si>
  <si>
    <t>Discriminação</t>
  </si>
  <si>
    <t>Unidade</t>
  </si>
  <si>
    <t>Custo unitário</t>
  </si>
  <si>
    <t>Subtotal</t>
  </si>
  <si>
    <r>
      <rPr>
        <b/>
        <sz val="9"/>
        <rFont val="Arial"/>
        <family val="2"/>
      </rPr>
      <t xml:space="preserve">Total </t>
    </r>
    <r>
      <rPr>
        <b/>
        <u val="single"/>
        <sz val="9"/>
        <rFont val="Arial"/>
        <family val="2"/>
      </rPr>
      <t>(R$)</t>
    </r>
  </si>
  <si>
    <t>mês</t>
  </si>
  <si>
    <t>Soma</t>
  </si>
  <si>
    <t>Encargos Sociais</t>
  </si>
  <si>
    <t>Total por prestador</t>
  </si>
  <si>
    <t>Total por Assistente Administrativo</t>
  </si>
  <si>
    <t>Total do Efetivo</t>
  </si>
  <si>
    <t>homem</t>
  </si>
  <si>
    <t>Obs: considerado 100 horas/mês para cada funcionário com DSR</t>
  </si>
  <si>
    <t>Fator de util.</t>
  </si>
  <si>
    <t xml:space="preserve"> SINDICATO INTERMUNICIPAL DOS EMPREGADOS EM EMPRESAS DE ASSEIO E CONS. E 
SERVICOS TERC. EM ASSEIO E CONSER. NO RGS-SEEAC/RS  Nº DO PROCESSO 46218.000414/2020-46 DE 11/02/2020</t>
  </si>
  <si>
    <t xml:space="preserve">1.2. Encarregado dos Serviços, auxiliar  de escritório em geral, auxiliar ou assistente administrativo </t>
  </si>
  <si>
    <t xml:space="preserve">Obs: considerado 200horas/mês para cada funcionário.  </t>
  </si>
  <si>
    <t xml:space="preserve"> SINDICATO INTERMUNICIPAL DOS EMPREGADOS EM EMPRESAS DE ASSEIO E CONS. E
SERVICOS TERC. EM ASSEIO E CONSER. NO RGS-SEEAC/RS  Nº DO PROCESSO 46218.020596/2017-76 DE 26/12/2017</t>
  </si>
  <si>
    <t>1.2. Auxílio Alimentação (mensal)</t>
  </si>
  <si>
    <t>Auxílio Alimentação (21 dias por mês)</t>
  </si>
  <si>
    <t>unidade</t>
  </si>
  <si>
    <t xml:space="preserve">Vale alimentação no valor de R$17,41, cfe Claúsula Déc. Nona, descontado 19% do funcionário. </t>
  </si>
  <si>
    <t>1. Custo Mensal com Mão-de-obra</t>
  </si>
  <si>
    <t>2. Uniformes e Equipamentos de Proteção Individual</t>
  </si>
  <si>
    <t>2.1. Uniformes e EPIs</t>
  </si>
  <si>
    <t>Durabilidade (meses)</t>
  </si>
  <si>
    <t>Calça</t>
  </si>
  <si>
    <t>Camiseta manga curta</t>
  </si>
  <si>
    <t>Camiseta manga longa</t>
  </si>
  <si>
    <t>Botina</t>
  </si>
  <si>
    <t>par</t>
  </si>
  <si>
    <t>Luva de proteção</t>
  </si>
  <si>
    <t>Jaqueta</t>
  </si>
  <si>
    <t>Higienização de uniformes e EPIs</t>
  </si>
  <si>
    <t>R$ mensal</t>
  </si>
  <si>
    <t>Quantidade de trabalhadores (concedido 01 uniformes p/colaborador)</t>
  </si>
  <si>
    <t>2. Custo Mensal com Uniformes e EPIs</t>
  </si>
  <si>
    <t>3 Transporte/Locomoção até local da Prestação do Serviço</t>
  </si>
  <si>
    <t>Total (R$)</t>
  </si>
  <si>
    <t>Despesa de transporte/locomoção</t>
  </si>
  <si>
    <t>km</t>
  </si>
  <si>
    <t xml:space="preserve">4. Equipamentos/ferramentas </t>
  </si>
  <si>
    <t xml:space="preserve">4.1. Depreciação/manutenção </t>
  </si>
  <si>
    <t>Roçadeira à Gasolina 1,7HP 42,7cc</t>
  </si>
  <si>
    <t>Vida útil</t>
  </si>
  <si>
    <t>anos</t>
  </si>
  <si>
    <t>Idade do equipamento</t>
  </si>
  <si>
    <t>Depreciação</t>
  </si>
  <si>
    <t>Depreciação mensal</t>
  </si>
  <si>
    <t xml:space="preserve">Cortadeira de grama a gasolina </t>
  </si>
  <si>
    <t xml:space="preserve">Aparador de grama </t>
  </si>
  <si>
    <t xml:space="preserve">ano </t>
  </si>
  <si>
    <t xml:space="preserve">Aspirador de folhas </t>
  </si>
  <si>
    <t>Ferramentas e materiais conforme item 4,8 do TR</t>
  </si>
  <si>
    <t xml:space="preserve">Conjunto </t>
  </si>
  <si>
    <t>meses</t>
  </si>
  <si>
    <t xml:space="preserve">Custo mensal </t>
  </si>
  <si>
    <t xml:space="preserve">Manutenção dos equipamentos e ferramentas </t>
  </si>
  <si>
    <t xml:space="preserve">mês </t>
  </si>
  <si>
    <t xml:space="preserve">Total Geral c/despesas de equipamentos e ferram. </t>
  </si>
  <si>
    <t>CUSTO TOTAL MENSAL COM DESPESAS OPERACIONAIS (R$/mês)</t>
  </si>
  <si>
    <t>5. Benefícios e Despesas Indiretas</t>
  </si>
  <si>
    <t>Benefícios e despesas indiretas</t>
  </si>
  <si>
    <t>5. Custo Mensal Com BDI</t>
  </si>
  <si>
    <t>PREÇO MENSAL TOTAL</t>
  </si>
  <si>
    <t xml:space="preserve">PREÇO MENSAL POR FUNCIONÁRIO </t>
  </si>
  <si>
    <t xml:space="preserve">Obs: cada empresa deverá prever seus encargos/impostos conforme determina a legislação de sua atividade. </t>
  </si>
  <si>
    <t>Orientações para preenchimento:</t>
  </si>
  <si>
    <t>1. Preencha previamente os dados de entrada na planilha 3.CAGED</t>
  </si>
  <si>
    <t xml:space="preserve">2. Composição dos Encargos Sociais </t>
  </si>
  <si>
    <t>Código</t>
  </si>
  <si>
    <t>Descrição</t>
  </si>
  <si>
    <t>Valor</t>
  </si>
  <si>
    <t>A1</t>
  </si>
  <si>
    <t>INSS</t>
  </si>
  <si>
    <t>A2</t>
  </si>
  <si>
    <t>SESI</t>
  </si>
  <si>
    <t>A3</t>
  </si>
  <si>
    <t>SENAI</t>
  </si>
  <si>
    <t>A4</t>
  </si>
  <si>
    <t>INCRA</t>
  </si>
  <si>
    <t>0,20%</t>
  </si>
  <si>
    <t>A5</t>
  </si>
  <si>
    <t>SEBRAE</t>
  </si>
  <si>
    <t>0,60%</t>
  </si>
  <si>
    <t>A6</t>
  </si>
  <si>
    <t>Salário educação</t>
  </si>
  <si>
    <t>A7</t>
  </si>
  <si>
    <t xml:space="preserve">Seguro contra acidentes de trabalho </t>
  </si>
  <si>
    <t>A8</t>
  </si>
  <si>
    <t>FGTS</t>
  </si>
  <si>
    <t>A</t>
  </si>
  <si>
    <t>SOMA GRUPO A</t>
  </si>
  <si>
    <t>B1</t>
  </si>
  <si>
    <t>Férias gozadas</t>
  </si>
  <si>
    <t>B2</t>
  </si>
  <si>
    <t>13º salário</t>
  </si>
  <si>
    <t>B3</t>
  </si>
  <si>
    <t>Licença Paternidade</t>
  </si>
  <si>
    <t>B4</t>
  </si>
  <si>
    <t>Faltas justificadas</t>
  </si>
  <si>
    <t>B5</t>
  </si>
  <si>
    <t>Auxilio acidente de trabalho</t>
  </si>
  <si>
    <t>B6</t>
  </si>
  <si>
    <t>Auxilio doença</t>
  </si>
  <si>
    <t>B</t>
  </si>
  <si>
    <t>SOMA GRUPO B</t>
  </si>
  <si>
    <t>C1</t>
  </si>
  <si>
    <t>Aviso prévio indenizado</t>
  </si>
  <si>
    <t>C2</t>
  </si>
  <si>
    <t xml:space="preserve">Férias indenizadas </t>
  </si>
  <si>
    <t>C3</t>
  </si>
  <si>
    <t>Férias indenizadas s/ aviso previo inden.</t>
  </si>
  <si>
    <t>C4</t>
  </si>
  <si>
    <t>Depósito rescisão sem justa causa</t>
  </si>
  <si>
    <t>C5</t>
  </si>
  <si>
    <t>Indenização adicional</t>
  </si>
  <si>
    <t>C</t>
  </si>
  <si>
    <t>SOMA GRUPO C</t>
  </si>
  <si>
    <t>D1</t>
  </si>
  <si>
    <t>Reincidência de Grupo A sobre Grupo B</t>
  </si>
  <si>
    <t>D2</t>
  </si>
  <si>
    <t>Reincidência de Grupo A sobre aviso prévio indenizado</t>
  </si>
  <si>
    <t>D</t>
  </si>
  <si>
    <t>SOMA GRUPO D</t>
  </si>
  <si>
    <t>SOMA (A+B+C+D)</t>
  </si>
  <si>
    <t xml:space="preserve">CÁLCULO DAS VERBAS INDENIZATÓRIAS DOS EMPREGADOS NO SETOR </t>
  </si>
  <si>
    <t>Para preencher esta planilha siga os passos 1 a 5:</t>
  </si>
  <si>
    <t xml:space="preserve">1. Acesse o Portal do CAGED no link http://bi.mte.gov.br/cagedestabelecimento/pages/consulta.xhtml </t>
  </si>
  <si>
    <t>2. Na Especificação da Consulta, selecione "Demonstrativo por período" e informe as competências relativas ao período Inicial e Final (últimos 12 meses)</t>
  </si>
  <si>
    <t>3. Nível Geográfico: selecione "Unidade da Federação" e marque a opção "Rio Grande do Sul"</t>
  </si>
  <si>
    <t>4. Nível Setorial: selecione "Classe de atividade econômica segundo a classificação CNAE – versão 2.0 (669 categorias)" e marque a opção "81290 - Atividade de limpeza não especif. anteriormente "</t>
  </si>
  <si>
    <t>5. Clique em Gerar Relatório</t>
  </si>
  <si>
    <t>6. Preencha as células em amarelo</t>
  </si>
  <si>
    <t>3. CAGED</t>
  </si>
  <si>
    <t>Rio Grande do Sul  - Atividade de limpeza não especif. anteriormente - CNAE 81290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</si>
  <si>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</si>
  <si>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</si>
  <si>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</si>
  <si>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</si>
  <si>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</si>
  <si>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</si>
  <si>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</si>
  <si>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</si>
  <si>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</si>
  <si>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</si>
  <si>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 xml:space="preserve"> </t>
  </si>
  <si>
    <t>Indicadores</t>
  </si>
  <si>
    <t>Estoque recuperado início do Período 01-05-2017</t>
  </si>
  <si>
    <t>Estoque recuperado final do Período 31-05-2018</t>
  </si>
  <si>
    <t>Variação Emprego Absoluta de 01-05-2017 a 31-05-2018</t>
  </si>
  <si>
    <t>Rotatividade</t>
  </si>
  <si>
    <t>Demitidos s/ Justa Causa em relação ao Estoque Médio</t>
  </si>
  <si>
    <t>Dias ano</t>
  </si>
  <si>
    <t>1/3 de férias (dias)</t>
  </si>
  <si>
    <t>Férias (dias)</t>
  </si>
  <si>
    <t>13º Salário (dias)</t>
  </si>
  <si>
    <t>Estoque Médio</t>
  </si>
  <si>
    <t>Multa FGTS</t>
  </si>
  <si>
    <t>Fração de tempo para gozo férias</t>
  </si>
  <si>
    <t>Dias de Aviso prévio</t>
  </si>
  <si>
    <t>Rotatividade temporal (meses)</t>
  </si>
  <si>
    <t>1. Esta planilha é somente um modelo-base e deve ser ajustada conforme cada caso concreto.</t>
  </si>
  <si>
    <t>2. Preencher somente células em amarelo</t>
  </si>
  <si>
    <t>4. Composição do BDI - Benefícios e Despesas Indiretas</t>
  </si>
  <si>
    <t>Referência estudo TCE</t>
  </si>
  <si>
    <t>1° Quartil</t>
  </si>
  <si>
    <t>Médio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</si>
  <si>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</si>
  <si>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</si>
  <si>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</si>
  <si>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</si>
  <si>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</si>
  <si>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</si>
  <si>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</si>
  <si>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</si>
  <si>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SELIC</t>
  </si>
  <si>
    <t>Tributos - ISS</t>
  </si>
  <si>
    <t>T</t>
  </si>
  <si>
    <t>DU</t>
  </si>
  <si>
    <t>Tributos - PIS/COFINS</t>
  </si>
  <si>
    <t>Fórmula para o cálculo do BDI:</t>
  </si>
  <si>
    <t>{[(1+AC+SRG) x (1+L) x (1+DF)] / (1-T)} -1</t>
  </si>
  <si>
    <t>Resultado do cálculo do BDI:</t>
  </si>
  <si>
    <t>AC = taxa representativa das despesas de rateio da administração central</t>
  </si>
  <si>
    <t xml:space="preserve">R = taxa representativa de riscos </t>
  </si>
  <si>
    <t xml:space="preserve">S = taxa representativa de seguros </t>
  </si>
  <si>
    <t xml:space="preserve">G = taxa representativa de garantias </t>
  </si>
  <si>
    <t xml:space="preserve">DF = taxa representativa das despesas financeiras </t>
  </si>
  <si>
    <t xml:space="preserve">L = taxa representativa do lucro ou remuneração </t>
  </si>
  <si>
    <t xml:space="preserve">T = taxa representativa da incidência de tributos </t>
  </si>
  <si>
    <t>Tributos – ISS – usado 3% que é do Município de Não-Me-Toque</t>
  </si>
  <si>
    <t>5. Depreciação Referencial TCE/RS (%)</t>
  </si>
  <si>
    <t>Idade do veículo (ano)</t>
  </si>
  <si>
    <t>Depreciação Média</t>
  </si>
  <si>
    <t xml:space="preserve">Prefeitura Municipal de Não Me Toque </t>
  </si>
  <si>
    <t>Planilha com os horário do prestador de serviço de ajardinagem</t>
  </si>
  <si>
    <t xml:space="preserve">Periodicidade: Segunda a sexta </t>
  </si>
  <si>
    <t xml:space="preserve">Nr. Func. </t>
  </si>
  <si>
    <t xml:space="preserve">Cargo </t>
  </si>
  <si>
    <t xml:space="preserve">Dias </t>
  </si>
  <si>
    <t xml:space="preserve">Entrada </t>
  </si>
  <si>
    <t>Saída</t>
  </si>
  <si>
    <t>Total Horas</t>
  </si>
  <si>
    <t>Jardinagem</t>
  </si>
  <si>
    <t>Segunda a sexta</t>
  </si>
  <si>
    <t xml:space="preserve">Cargo: Jardineiro </t>
  </si>
  <si>
    <t xml:space="preserve">Total de horas porjardineiro </t>
  </si>
  <si>
    <t xml:space="preserve">Total de dias por semana </t>
  </si>
  <si>
    <t xml:space="preserve">Total de horas por semana </t>
  </si>
  <si>
    <t xml:space="preserve">Dias úteis semana </t>
  </si>
  <si>
    <t>Total de dias com (DSR) Descanso Semanal Remunerado</t>
  </si>
  <si>
    <t>Total de horas/dia com (DSR)</t>
  </si>
  <si>
    <t xml:space="preserve">Total de dias no mês (30 dias) </t>
  </si>
  <si>
    <t>Total geral de horas mês com (DSR)</t>
  </si>
  <si>
    <t>Total geral de horas base mês com (DSR)</t>
  </si>
  <si>
    <t xml:space="preserve">Fator de utilização </t>
  </si>
</sst>
</file>

<file path=xl/styles.xml><?xml version="1.0" encoding="utf-8"?>
<styleSheet xmlns="http://schemas.openxmlformats.org/spreadsheetml/2006/main">
  <numFmts count="22">
    <numFmt numFmtId="164" formatCode="General"/>
    <numFmt numFmtId="165" formatCode="[$R$-416]\ #,##0.00;[RED]\-[$R$-416]\ #,##0.00"/>
    <numFmt numFmtId="166" formatCode="#,##0.00\ ;&quot; (&quot;#,##0.00\);\-#\ ;@\ "/>
    <numFmt numFmtId="167" formatCode="#,##0.00"/>
    <numFmt numFmtId="168" formatCode="&quot;R$ &quot;#,##0.00"/>
    <numFmt numFmtId="169" formatCode="0%"/>
    <numFmt numFmtId="170" formatCode="0.00%"/>
    <numFmt numFmtId="171" formatCode="&quot;R$ &quot;#,##0.00\ ;&quot;(R$ &quot;#,##0.00\)"/>
    <numFmt numFmtId="172" formatCode="&quot;R$ &quot;#,##0.00;[RED]&quot;R$ -&quot;#,##0.00"/>
    <numFmt numFmtId="173" formatCode="0"/>
    <numFmt numFmtId="174" formatCode="&quot; R$ &quot;#,##0.00\ ;&quot;-R$ &quot;#,##0.00\ ;&quot; R$ -&quot;#\ ;@\ "/>
    <numFmt numFmtId="175" formatCode="#,##0\ ;&quot; (&quot;#,##0\);\-#\ ;@\ "/>
    <numFmt numFmtId="176" formatCode="[$R$-416]\ #,##0.00\ ;\-[$R$-416]\ #,##0.00\ ;[$R$-416]&quot; -&quot;#\ ;@\ "/>
    <numFmt numFmtId="177" formatCode="0.00"/>
    <numFmt numFmtId="178" formatCode="#,##0.0000\ ;&quot; (&quot;#,##0.0000\);\-#\ ;@\ "/>
    <numFmt numFmtId="179" formatCode="#,##0.0000\ ;&quot; (&quot;#,##0.0000\);\-#.00\ ;@\ "/>
    <numFmt numFmtId="180" formatCode="&quot; R$ &quot;#,##0.00\ ;&quot; R$ -&quot;#,##0.00\ ;&quot; R$ -&quot;#\ ;@\ "/>
    <numFmt numFmtId="181" formatCode="_(* #,##0.00_);_(* \(#,##0.00\);_(* \-??_);_(@_)"/>
    <numFmt numFmtId="182" formatCode="_-&quot;R$ &quot;* #,##0.00_-;&quot;-R$ &quot;* #,##0.00_-;_-&quot;R$ &quot;* \-??_-;_-@_-"/>
    <numFmt numFmtId="183" formatCode="0.0000"/>
    <numFmt numFmtId="184" formatCode="HH:MM"/>
    <numFmt numFmtId="185" formatCode="HH:MM:SS"/>
  </numFmts>
  <fonts count="22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1" fontId="0" fillId="0" borderId="0" applyFill="0" applyBorder="0" applyAlignment="0" applyProtection="0"/>
    <xf numFmtId="174" fontId="0" fillId="0" borderId="0">
      <alignment/>
      <protection/>
    </xf>
    <xf numFmtId="42" fontId="0" fillId="0" borderId="0" applyFill="0" applyBorder="0" applyAlignment="0" applyProtection="0"/>
    <xf numFmtId="169" fontId="0" fillId="0" borderId="0">
      <alignment/>
      <protection/>
    </xf>
    <xf numFmtId="164" fontId="16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" fillId="0" borderId="0" applyNumberFormat="0" applyFill="0" applyBorder="0" applyAlignment="0" applyProtection="0"/>
    <xf numFmtId="165" fontId="2" fillId="0" borderId="0" applyFill="0" applyBorder="0" applyAlignment="0" applyProtection="0"/>
    <xf numFmtId="164" fontId="0" fillId="0" borderId="0" applyNumberFormat="0" applyFill="0" applyBorder="0" applyProtection="0">
      <alignment horizontal="center" textRotation="90"/>
    </xf>
    <xf numFmtId="164" fontId="0" fillId="0" borderId="0">
      <alignment/>
      <protection/>
    </xf>
  </cellStyleXfs>
  <cellXfs count="328">
    <xf numFmtId="164" fontId="0" fillId="0" borderId="0" xfId="0" applyAlignment="1">
      <alignment/>
    </xf>
    <xf numFmtId="164" fontId="0" fillId="0" borderId="0" xfId="26" applyFont="1" applyAlignment="1">
      <alignment vertical="center"/>
      <protection/>
    </xf>
    <xf numFmtId="166" fontId="0" fillId="0" borderId="0" xfId="15" applyFont="1" applyFill="1" applyBorder="1" applyAlignment="1" applyProtection="1">
      <alignment vertical="center"/>
      <protection/>
    </xf>
    <xf numFmtId="164" fontId="3" fillId="2" borderId="0" xfId="26" applyFont="1" applyFill="1" applyBorder="1" applyAlignment="1">
      <alignment horizontal="center" vertical="center"/>
      <protection/>
    </xf>
    <xf numFmtId="164" fontId="0" fillId="0" borderId="0" xfId="26" applyAlignment="1">
      <alignment vertical="center"/>
      <protection/>
    </xf>
    <xf numFmtId="164" fontId="4" fillId="3" borderId="1" xfId="26" applyFont="1" applyFill="1" applyBorder="1" applyAlignment="1">
      <alignment horizontal="center" vertical="top" wrapText="1"/>
      <protection/>
    </xf>
    <xf numFmtId="166" fontId="5" fillId="0" borderId="0" xfId="15" applyFont="1" applyFill="1" applyBorder="1" applyAlignment="1" applyProtection="1">
      <alignment vertical="center"/>
      <protection/>
    </xf>
    <xf numFmtId="164" fontId="5" fillId="0" borderId="0" xfId="26" applyFont="1" applyAlignment="1">
      <alignment vertical="center"/>
      <protection/>
    </xf>
    <xf numFmtId="164" fontId="6" fillId="3" borderId="2" xfId="26" applyFont="1" applyFill="1" applyBorder="1" applyAlignment="1">
      <alignment horizontal="center" vertical="center"/>
      <protection/>
    </xf>
    <xf numFmtId="164" fontId="0" fillId="0" borderId="3" xfId="26" applyFill="1" applyBorder="1" applyAlignment="1">
      <alignment vertical="center"/>
      <protection/>
    </xf>
    <xf numFmtId="167" fontId="0" fillId="0" borderId="0" xfId="26" applyNumberFormat="1" applyFill="1" applyBorder="1" applyAlignment="1">
      <alignment vertical="center"/>
      <protection/>
    </xf>
    <xf numFmtId="166" fontId="0" fillId="0" borderId="4" xfId="15" applyFont="1" applyFill="1" applyBorder="1" applyAlignment="1" applyProtection="1">
      <alignment vertical="center"/>
      <protection/>
    </xf>
    <xf numFmtId="166" fontId="7" fillId="3" borderId="5" xfId="15" applyFont="1" applyFill="1" applyBorder="1" applyAlignment="1" applyProtection="1">
      <alignment horizontal="center" vertical="center"/>
      <protection/>
    </xf>
    <xf numFmtId="166" fontId="8" fillId="0" borderId="6" xfId="15" applyFont="1" applyFill="1" applyBorder="1" applyAlignment="1" applyProtection="1">
      <alignment horizontal="center" vertical="center"/>
      <protection/>
    </xf>
    <xf numFmtId="166" fontId="0" fillId="0" borderId="7" xfId="15" applyFont="1" applyFill="1" applyBorder="1" applyAlignment="1" applyProtection="1">
      <alignment vertical="center"/>
      <protection/>
    </xf>
    <xf numFmtId="166" fontId="8" fillId="0" borderId="7" xfId="15" applyFont="1" applyFill="1" applyBorder="1" applyAlignment="1" applyProtection="1">
      <alignment vertical="center"/>
      <protection/>
    </xf>
    <xf numFmtId="166" fontId="8" fillId="0" borderId="8" xfId="15" applyFont="1" applyFill="1" applyBorder="1" applyAlignment="1" applyProtection="1">
      <alignment vertical="center"/>
      <protection/>
    </xf>
    <xf numFmtId="166" fontId="8" fillId="0" borderId="9" xfId="15" applyFont="1" applyFill="1" applyBorder="1" applyAlignment="1" applyProtection="1">
      <alignment horizontal="center" vertical="center"/>
      <protection/>
    </xf>
    <xf numFmtId="166" fontId="8" fillId="0" borderId="10" xfId="15" applyFont="1" applyFill="1" applyBorder="1" applyAlignment="1" applyProtection="1">
      <alignment vertical="center"/>
      <protection/>
    </xf>
    <xf numFmtId="166" fontId="8" fillId="0" borderId="11" xfId="26" applyNumberFormat="1" applyFont="1" applyBorder="1" applyAlignment="1">
      <alignment vertical="center"/>
      <protection/>
    </xf>
    <xf numFmtId="166" fontId="8" fillId="0" borderId="11" xfId="15" applyFont="1" applyFill="1" applyBorder="1" applyAlignment="1" applyProtection="1">
      <alignment vertical="center"/>
      <protection/>
    </xf>
    <xf numFmtId="168" fontId="8" fillId="0" borderId="12" xfId="26" applyNumberFormat="1" applyFont="1" applyBorder="1" applyAlignment="1">
      <alignment horizontal="right" vertical="center"/>
      <protection/>
    </xf>
    <xf numFmtId="170" fontId="8" fillId="0" borderId="13" xfId="19" applyNumberFormat="1" applyFont="1" applyFill="1" applyBorder="1" applyAlignment="1" applyProtection="1">
      <alignment horizontal="center" vertical="center"/>
      <protection/>
    </xf>
    <xf numFmtId="166" fontId="8" fillId="0" borderId="0" xfId="15" applyFont="1" applyFill="1" applyBorder="1" applyAlignment="1" applyProtection="1">
      <alignment vertical="center"/>
      <protection/>
    </xf>
    <xf numFmtId="164" fontId="8" fillId="0" borderId="0" xfId="26" applyFont="1" applyAlignment="1">
      <alignment vertical="center"/>
      <protection/>
    </xf>
    <xf numFmtId="166" fontId="0" fillId="0" borderId="10" xfId="15" applyFont="1" applyFill="1" applyBorder="1" applyAlignment="1" applyProtection="1">
      <alignment vertical="center"/>
      <protection/>
    </xf>
    <xf numFmtId="166" fontId="0" fillId="0" borderId="11" xfId="26" applyNumberFormat="1" applyBorder="1" applyAlignment="1">
      <alignment vertical="center"/>
      <protection/>
    </xf>
    <xf numFmtId="166" fontId="0" fillId="0" borderId="11" xfId="15" applyFont="1" applyFill="1" applyBorder="1" applyAlignment="1" applyProtection="1">
      <alignment vertical="center"/>
      <protection/>
    </xf>
    <xf numFmtId="168" fontId="0" fillId="0" borderId="12" xfId="26" applyNumberFormat="1" applyBorder="1" applyAlignment="1">
      <alignment horizontal="right" vertical="center"/>
      <protection/>
    </xf>
    <xf numFmtId="170" fontId="0" fillId="0" borderId="13" xfId="19" applyNumberFormat="1" applyFont="1" applyFill="1" applyBorder="1" applyAlignment="1" applyProtection="1">
      <alignment horizontal="center" vertical="center"/>
      <protection/>
    </xf>
    <xf numFmtId="166" fontId="8" fillId="0" borderId="10" xfId="15" applyFont="1" applyFill="1" applyBorder="1" applyAlignment="1" applyProtection="1">
      <alignment horizontal="left" vertical="center"/>
      <protection/>
    </xf>
    <xf numFmtId="166" fontId="0" fillId="0" borderId="10" xfId="15" applyFont="1" applyFill="1" applyBorder="1" applyAlignment="1" applyProtection="1">
      <alignment horizontal="left" vertical="center"/>
      <protection/>
    </xf>
    <xf numFmtId="166" fontId="8" fillId="0" borderId="11" xfId="15" applyFont="1" applyFill="1" applyBorder="1" applyAlignment="1" applyProtection="1">
      <alignment horizontal="left" vertical="center"/>
      <protection/>
    </xf>
    <xf numFmtId="168" fontId="0" fillId="0" borderId="12" xfId="26" applyNumberFormat="1" applyFont="1" applyBorder="1" applyAlignment="1">
      <alignment horizontal="right" vertical="center"/>
      <protection/>
    </xf>
    <xf numFmtId="168" fontId="8" fillId="0" borderId="14" xfId="26" applyNumberFormat="1" applyFont="1" applyBorder="1" applyAlignment="1">
      <alignment horizontal="right" vertical="center"/>
      <protection/>
    </xf>
    <xf numFmtId="167" fontId="8" fillId="0" borderId="11" xfId="26" applyNumberFormat="1" applyFont="1" applyBorder="1" applyAlignment="1">
      <alignment horizontal="center" vertical="center"/>
      <protection/>
    </xf>
    <xf numFmtId="168" fontId="8" fillId="0" borderId="15" xfId="26" applyNumberFormat="1" applyFont="1" applyBorder="1" applyAlignment="1">
      <alignment horizontal="right" vertical="center"/>
      <protection/>
    </xf>
    <xf numFmtId="166" fontId="8" fillId="0" borderId="16" xfId="15" applyFont="1" applyFill="1" applyBorder="1" applyAlignment="1" applyProtection="1">
      <alignment horizontal="left" vertical="center"/>
      <protection/>
    </xf>
    <xf numFmtId="167" fontId="8" fillId="0" borderId="17" xfId="26" applyNumberFormat="1" applyFont="1" applyBorder="1" applyAlignment="1">
      <alignment horizontal="center" vertical="center"/>
      <protection/>
    </xf>
    <xf numFmtId="166" fontId="8" fillId="0" borderId="17" xfId="15" applyFont="1" applyFill="1" applyBorder="1" applyAlignment="1" applyProtection="1">
      <alignment vertical="center"/>
      <protection/>
    </xf>
    <xf numFmtId="171" fontId="8" fillId="0" borderId="18" xfId="26" applyNumberFormat="1" applyFont="1" applyBorder="1" applyAlignment="1">
      <alignment vertical="center"/>
      <protection/>
    </xf>
    <xf numFmtId="169" fontId="8" fillId="0" borderId="19" xfId="19" applyFont="1" applyFill="1" applyBorder="1" applyAlignment="1" applyProtection="1">
      <alignment horizontal="center" vertical="center"/>
      <protection/>
    </xf>
    <xf numFmtId="166" fontId="8" fillId="0" borderId="0" xfId="15" applyFont="1" applyFill="1" applyBorder="1" applyAlignment="1" applyProtection="1">
      <alignment horizontal="left" vertical="center"/>
      <protection/>
    </xf>
    <xf numFmtId="167" fontId="8" fillId="0" borderId="0" xfId="26" applyNumberFormat="1" applyFont="1" applyBorder="1" applyAlignment="1">
      <alignment horizontal="center" vertical="center"/>
      <protection/>
    </xf>
    <xf numFmtId="171" fontId="8" fillId="0" borderId="0" xfId="26" applyNumberFormat="1" applyFont="1" applyBorder="1" applyAlignment="1">
      <alignment vertical="center"/>
      <protection/>
    </xf>
    <xf numFmtId="169" fontId="8" fillId="0" borderId="0" xfId="19" applyFont="1" applyFill="1" applyBorder="1" applyAlignment="1" applyProtection="1">
      <alignment horizontal="center" vertical="center"/>
      <protection/>
    </xf>
    <xf numFmtId="164" fontId="7" fillId="0" borderId="0" xfId="26" applyFont="1" applyProtection="1">
      <alignment/>
      <protection locked="0"/>
    </xf>
    <xf numFmtId="164" fontId="9" fillId="0" borderId="0" xfId="26" applyFont="1" applyProtection="1">
      <alignment/>
      <protection locked="0"/>
    </xf>
    <xf numFmtId="172" fontId="9" fillId="4" borderId="0" xfId="26" applyNumberFormat="1" applyFont="1" applyFill="1" applyProtection="1">
      <alignment/>
      <protection/>
    </xf>
    <xf numFmtId="172" fontId="9" fillId="0" borderId="0" xfId="26" applyNumberFormat="1" applyFont="1" applyProtection="1">
      <alignment/>
      <protection locked="0"/>
    </xf>
    <xf numFmtId="172" fontId="9" fillId="0" borderId="0" xfId="26" applyNumberFormat="1" applyFont="1" applyAlignment="1" applyProtection="1">
      <alignment horizontal="right"/>
      <protection locked="0"/>
    </xf>
    <xf numFmtId="166" fontId="8" fillId="0" borderId="20" xfId="15" applyFont="1" applyFill="1" applyBorder="1" applyAlignment="1" applyProtection="1">
      <alignment horizontal="center" vertical="center"/>
      <protection/>
    </xf>
    <xf numFmtId="166" fontId="8" fillId="0" borderId="21" xfId="15" applyFont="1" applyFill="1" applyBorder="1" applyAlignment="1" applyProtection="1">
      <alignment horizontal="center" vertical="center"/>
      <protection/>
    </xf>
    <xf numFmtId="166" fontId="8" fillId="0" borderId="6" xfId="15" applyFont="1" applyFill="1" applyBorder="1" applyAlignment="1" applyProtection="1">
      <alignment vertical="center"/>
      <protection/>
    </xf>
    <xf numFmtId="164" fontId="0" fillId="0" borderId="7" xfId="26" applyBorder="1" applyAlignment="1">
      <alignment vertical="center"/>
      <protection/>
    </xf>
    <xf numFmtId="173" fontId="8" fillId="4" borderId="9" xfId="15" applyNumberFormat="1" applyFont="1" applyFill="1" applyBorder="1" applyAlignment="1" applyProtection="1">
      <alignment horizontal="center" vertical="center"/>
      <protection/>
    </xf>
    <xf numFmtId="166" fontId="0" fillId="0" borderId="22" xfId="15" applyFont="1" applyFill="1" applyBorder="1" applyAlignment="1" applyProtection="1">
      <alignment vertical="center"/>
      <protection/>
    </xf>
    <xf numFmtId="166" fontId="0" fillId="0" borderId="23" xfId="15" applyFont="1" applyFill="1" applyBorder="1" applyAlignment="1" applyProtection="1">
      <alignment vertical="center"/>
      <protection/>
    </xf>
    <xf numFmtId="164" fontId="0" fillId="0" borderId="23" xfId="26" applyBorder="1" applyAlignment="1">
      <alignment vertical="center"/>
      <protection/>
    </xf>
    <xf numFmtId="174" fontId="8" fillId="4" borderId="24" xfId="17" applyFont="1" applyFill="1" applyBorder="1" applyAlignment="1" applyProtection="1">
      <alignment horizontal="center" vertical="center"/>
      <protection/>
    </xf>
    <xf numFmtId="173" fontId="8" fillId="4" borderId="24" xfId="15" applyNumberFormat="1" applyFont="1" applyFill="1" applyBorder="1" applyAlignment="1" applyProtection="1">
      <alignment horizontal="center" vertical="center"/>
      <protection/>
    </xf>
    <xf numFmtId="164" fontId="0" fillId="0" borderId="11" xfId="26" applyBorder="1" applyAlignment="1">
      <alignment vertical="center"/>
      <protection/>
    </xf>
    <xf numFmtId="173" fontId="8" fillId="4" borderId="25" xfId="15" applyNumberFormat="1" applyFont="1" applyFill="1" applyBorder="1" applyAlignment="1" applyProtection="1">
      <alignment horizontal="center" vertical="center"/>
      <protection/>
    </xf>
    <xf numFmtId="174" fontId="8" fillId="4" borderId="25" xfId="17" applyFont="1" applyFill="1" applyBorder="1" applyAlignment="1" applyProtection="1">
      <alignment horizontal="center" vertical="center"/>
      <protection/>
    </xf>
    <xf numFmtId="166" fontId="8" fillId="0" borderId="26" xfId="15" applyFont="1" applyFill="1" applyBorder="1" applyAlignment="1" applyProtection="1">
      <alignment vertical="center"/>
      <protection/>
    </xf>
    <xf numFmtId="167" fontId="8" fillId="0" borderId="27" xfId="26" applyNumberFormat="1" applyFont="1" applyBorder="1" applyAlignment="1">
      <alignment vertical="center"/>
      <protection/>
    </xf>
    <xf numFmtId="164" fontId="0" fillId="0" borderId="27" xfId="26" applyBorder="1" applyAlignment="1">
      <alignment vertical="center"/>
      <protection/>
    </xf>
    <xf numFmtId="173" fontId="8" fillId="0" borderId="28" xfId="15" applyNumberFormat="1" applyFont="1" applyFill="1" applyBorder="1" applyAlignment="1" applyProtection="1">
      <alignment horizontal="center" vertical="center"/>
      <protection/>
    </xf>
    <xf numFmtId="164" fontId="0" fillId="0" borderId="0" xfId="26" applyFont="1" applyBorder="1" applyAlignment="1">
      <alignment vertical="center"/>
      <protection/>
    </xf>
    <xf numFmtId="175" fontId="0" fillId="0" borderId="0" xfId="15" applyNumberFormat="1" applyFont="1" applyFill="1" applyBorder="1" applyAlignment="1" applyProtection="1">
      <alignment horizontal="center" vertical="center"/>
      <protection/>
    </xf>
    <xf numFmtId="166" fontId="8" fillId="0" borderId="16" xfId="15" applyFont="1" applyFill="1" applyBorder="1" applyAlignment="1" applyProtection="1">
      <alignment vertical="center"/>
      <protection/>
    </xf>
    <xf numFmtId="170" fontId="8" fillId="5" borderId="5" xfId="19" applyNumberFormat="1" applyFont="1" applyFill="1" applyBorder="1" applyAlignment="1" applyProtection="1">
      <alignment vertical="center"/>
      <protection/>
    </xf>
    <xf numFmtId="164" fontId="8" fillId="0" borderId="0" xfId="26" applyFont="1" applyBorder="1" applyAlignment="1">
      <alignment vertical="center"/>
      <protection/>
    </xf>
    <xf numFmtId="175" fontId="8" fillId="0" borderId="0" xfId="15" applyNumberFormat="1" applyFont="1" applyFill="1" applyBorder="1" applyAlignment="1" applyProtection="1">
      <alignment horizontal="center" vertical="center"/>
      <protection/>
    </xf>
    <xf numFmtId="164" fontId="0" fillId="0" borderId="27" xfId="26" applyFont="1" applyBorder="1" applyAlignment="1">
      <alignment horizontal="left" vertical="center"/>
      <protection/>
    </xf>
    <xf numFmtId="164" fontId="10" fillId="6" borderId="20" xfId="26" applyFont="1" applyFill="1" applyBorder="1" applyAlignment="1">
      <alignment horizontal="center" vertical="center"/>
      <protection/>
    </xf>
    <xf numFmtId="164" fontId="10" fillId="6" borderId="29" xfId="26" applyFont="1" applyFill="1" applyBorder="1" applyAlignment="1">
      <alignment horizontal="center" vertical="center"/>
      <protection/>
    </xf>
    <xf numFmtId="166" fontId="10" fillId="6" borderId="29" xfId="15" applyFont="1" applyFill="1" applyBorder="1" applyAlignment="1" applyProtection="1">
      <alignment horizontal="center" vertical="center"/>
      <protection/>
    </xf>
    <xf numFmtId="166" fontId="10" fillId="6" borderId="19" xfId="15" applyFont="1" applyFill="1" applyBorder="1" applyAlignment="1" applyProtection="1">
      <alignment horizontal="center" vertical="center"/>
      <protection/>
    </xf>
    <xf numFmtId="164" fontId="0" fillId="0" borderId="30" xfId="26" applyFont="1" applyBorder="1" applyAlignment="1">
      <alignment vertical="center"/>
      <protection/>
    </xf>
    <xf numFmtId="164" fontId="0" fillId="0" borderId="30" xfId="26" applyFont="1" applyBorder="1" applyAlignment="1">
      <alignment horizontal="center" vertical="center"/>
      <protection/>
    </xf>
    <xf numFmtId="176" fontId="0" fillId="5" borderId="30" xfId="15" applyNumberFormat="1" applyFont="1" applyFill="1" applyBorder="1" applyAlignment="1" applyProtection="1">
      <alignment horizontal="center" vertical="center"/>
      <protection/>
    </xf>
    <xf numFmtId="176" fontId="0" fillId="0" borderId="30" xfId="15" applyNumberFormat="1" applyFont="1" applyFill="1" applyBorder="1" applyAlignment="1" applyProtection="1">
      <alignment horizontal="center" vertical="center"/>
      <protection/>
    </xf>
    <xf numFmtId="164" fontId="0" fillId="0" borderId="12" xfId="26" applyFont="1" applyBorder="1" applyAlignment="1">
      <alignment vertical="center"/>
      <protection/>
    </xf>
    <xf numFmtId="164" fontId="0" fillId="0" borderId="12" xfId="26" applyFont="1" applyBorder="1" applyAlignment="1">
      <alignment horizontal="center" vertical="center"/>
      <protection/>
    </xf>
    <xf numFmtId="173" fontId="0" fillId="5" borderId="12" xfId="26" applyNumberFormat="1" applyFont="1" applyFill="1" applyBorder="1" applyAlignment="1">
      <alignment horizontal="center" vertical="center"/>
      <protection/>
    </xf>
    <xf numFmtId="176" fontId="0" fillId="0" borderId="12" xfId="15" applyNumberFormat="1" applyFont="1" applyFill="1" applyBorder="1" applyAlignment="1" applyProtection="1">
      <alignment horizontal="center" vertical="center"/>
      <protection/>
    </xf>
    <xf numFmtId="164" fontId="0" fillId="0" borderId="14" xfId="26" applyFont="1" applyBorder="1" applyAlignment="1">
      <alignment vertical="center"/>
      <protection/>
    </xf>
    <xf numFmtId="164" fontId="8" fillId="0" borderId="0" xfId="26" applyFont="1" applyAlignment="1">
      <alignment horizontal="center" vertical="center"/>
      <protection/>
    </xf>
    <xf numFmtId="176" fontId="8" fillId="0" borderId="0" xfId="15" applyNumberFormat="1" applyFont="1" applyFill="1" applyBorder="1" applyAlignment="1" applyProtection="1">
      <alignment horizontal="center" vertical="center"/>
      <protection/>
    </xf>
    <xf numFmtId="176" fontId="8" fillId="0" borderId="14" xfId="15" applyNumberFormat="1" applyFont="1" applyFill="1" applyBorder="1" applyAlignment="1" applyProtection="1">
      <alignment horizontal="center" vertical="center"/>
      <protection/>
    </xf>
    <xf numFmtId="164" fontId="8" fillId="0" borderId="14" xfId="26" applyFont="1" applyBorder="1" applyAlignment="1">
      <alignment vertical="center"/>
      <protection/>
    </xf>
    <xf numFmtId="164" fontId="0" fillId="7" borderId="12" xfId="15" applyNumberFormat="1" applyFont="1" applyFill="1" applyBorder="1" applyAlignment="1" applyProtection="1">
      <alignment horizontal="center" vertical="center"/>
      <protection/>
    </xf>
    <xf numFmtId="177" fontId="0" fillId="0" borderId="0" xfId="26" applyNumberFormat="1" applyFont="1" applyAlignment="1">
      <alignment vertical="center"/>
      <protection/>
    </xf>
    <xf numFmtId="176" fontId="0" fillId="0" borderId="14" xfId="15" applyNumberFormat="1" applyFont="1" applyFill="1" applyBorder="1" applyAlignment="1" applyProtection="1">
      <alignment horizontal="center" vertical="center"/>
      <protection/>
    </xf>
    <xf numFmtId="164" fontId="12" fillId="0" borderId="0" xfId="26" applyFont="1" applyAlignment="1">
      <alignment vertical="center"/>
      <protection/>
    </xf>
    <xf numFmtId="166" fontId="0" fillId="0" borderId="0" xfId="15" applyFont="1" applyFill="1" applyBorder="1" applyAlignment="1" applyProtection="1">
      <alignment horizontal="right" vertical="center"/>
      <protection/>
    </xf>
    <xf numFmtId="178" fontId="0" fillId="0" borderId="12" xfId="15" applyNumberFormat="1" applyFont="1" applyFill="1" applyBorder="1" applyAlignment="1" applyProtection="1">
      <alignment vertical="center"/>
      <protection/>
    </xf>
    <xf numFmtId="174" fontId="8" fillId="4" borderId="31" xfId="17" applyFont="1" applyFill="1" applyBorder="1" applyAlignment="1" applyProtection="1">
      <alignment horizontal="center" vertical="center"/>
      <protection/>
    </xf>
    <xf numFmtId="164" fontId="12" fillId="0" borderId="0" xfId="0" applyFont="1" applyBorder="1" applyAlignment="1">
      <alignment horizontal="left" wrapText="1"/>
    </xf>
    <xf numFmtId="178" fontId="0" fillId="0" borderId="0" xfId="15" applyNumberFormat="1" applyFont="1" applyFill="1" applyBorder="1" applyAlignment="1" applyProtection="1">
      <alignment vertical="center"/>
      <protection/>
    </xf>
    <xf numFmtId="166" fontId="8" fillId="5" borderId="0" xfId="15" applyFont="1" applyFill="1" applyBorder="1" applyAlignment="1" applyProtection="1">
      <alignment horizontal="center" vertical="center"/>
      <protection/>
    </xf>
    <xf numFmtId="174" fontId="0" fillId="5" borderId="30" xfId="17" applyFont="1" applyFill="1" applyBorder="1" applyAlignment="1" applyProtection="1">
      <alignment horizontal="center" vertical="center"/>
      <protection/>
    </xf>
    <xf numFmtId="174" fontId="0" fillId="0" borderId="30" xfId="17" applyFont="1" applyFill="1" applyBorder="1" applyAlignment="1" applyProtection="1">
      <alignment horizontal="center" vertical="center"/>
      <protection/>
    </xf>
    <xf numFmtId="174" fontId="8" fillId="0" borderId="0" xfId="17" applyFont="1" applyFill="1" applyBorder="1" applyAlignment="1" applyProtection="1">
      <alignment horizontal="center" vertical="center"/>
      <protection/>
    </xf>
    <xf numFmtId="174" fontId="0" fillId="0" borderId="12" xfId="17" applyFont="1" applyFill="1" applyBorder="1" applyAlignment="1" applyProtection="1">
      <alignment horizontal="center" vertical="center"/>
      <protection/>
    </xf>
    <xf numFmtId="164" fontId="8" fillId="0" borderId="11" xfId="26" applyFont="1" applyBorder="1" applyAlignment="1">
      <alignment horizontal="center" vertical="center"/>
      <protection/>
    </xf>
    <xf numFmtId="174" fontId="8" fillId="0" borderId="11" xfId="17" applyFont="1" applyFill="1" applyBorder="1" applyAlignment="1" applyProtection="1">
      <alignment horizontal="center" vertical="center"/>
      <protection/>
    </xf>
    <xf numFmtId="164" fontId="12" fillId="0" borderId="32" xfId="26" applyFont="1" applyBorder="1" applyAlignment="1">
      <alignment horizontal="left" vertical="center"/>
      <protection/>
    </xf>
    <xf numFmtId="174" fontId="8" fillId="6" borderId="31" xfId="17" applyFont="1" applyFill="1" applyBorder="1" applyAlignment="1" applyProtection="1">
      <alignment horizontal="center" vertical="center"/>
      <protection/>
    </xf>
    <xf numFmtId="164" fontId="12" fillId="0" borderId="0" xfId="26" applyFont="1" applyBorder="1" applyAlignment="1">
      <alignment horizontal="left" vertical="top" wrapText="1"/>
      <protection/>
    </xf>
    <xf numFmtId="166" fontId="8" fillId="0" borderId="0" xfId="15" applyFont="1" applyFill="1" applyBorder="1" applyAlignment="1" applyProtection="1">
      <alignment horizontal="center" vertical="center"/>
      <protection/>
    </xf>
    <xf numFmtId="176" fontId="0" fillId="0" borderId="0" xfId="26" applyNumberFormat="1" applyFont="1" applyAlignment="1">
      <alignment vertical="center"/>
      <protection/>
    </xf>
    <xf numFmtId="174" fontId="0" fillId="0" borderId="0" xfId="26" applyNumberFormat="1" applyFont="1" applyAlignment="1">
      <alignment vertical="center"/>
      <protection/>
    </xf>
    <xf numFmtId="173" fontId="0" fillId="0" borderId="12" xfId="15" applyNumberFormat="1" applyFont="1" applyFill="1" applyBorder="1" applyAlignment="1" applyProtection="1">
      <alignment horizontal="center" vertical="center"/>
      <protection/>
    </xf>
    <xf numFmtId="174" fontId="0" fillId="4" borderId="12" xfId="17" applyFont="1" applyFill="1" applyBorder="1" applyAlignment="1" applyProtection="1">
      <alignment horizontal="center" vertical="center"/>
      <protection/>
    </xf>
    <xf numFmtId="174" fontId="0" fillId="4" borderId="12" xfId="17" applyFont="1" applyFill="1" applyBorder="1" applyAlignment="1" applyProtection="1">
      <alignment vertical="center"/>
      <protection/>
    </xf>
    <xf numFmtId="164" fontId="12" fillId="0" borderId="32" xfId="26" applyFont="1" applyBorder="1" applyAlignment="1">
      <alignment vertical="center"/>
      <protection/>
    </xf>
    <xf numFmtId="179" fontId="0" fillId="0" borderId="12" xfId="15" applyNumberFormat="1" applyFont="1" applyFill="1" applyBorder="1" applyAlignment="1" applyProtection="1">
      <alignment vertical="center"/>
      <protection/>
    </xf>
    <xf numFmtId="174" fontId="8" fillId="6" borderId="5" xfId="17" applyFont="1" applyFill="1" applyBorder="1" applyAlignment="1" applyProtection="1">
      <alignment vertical="center"/>
      <protection/>
    </xf>
    <xf numFmtId="164" fontId="12" fillId="0" borderId="0" xfId="26" applyFont="1" applyBorder="1" applyAlignment="1">
      <alignment horizontal="left" vertical="center"/>
      <protection/>
    </xf>
    <xf numFmtId="174" fontId="8" fillId="0" borderId="0" xfId="17" applyFont="1" applyFill="1" applyBorder="1" applyAlignment="1" applyProtection="1">
      <alignment vertical="center"/>
      <protection/>
    </xf>
    <xf numFmtId="164" fontId="13" fillId="2" borderId="16" xfId="26" applyFont="1" applyFill="1" applyBorder="1" applyAlignment="1">
      <alignment vertical="center"/>
      <protection/>
    </xf>
    <xf numFmtId="164" fontId="13" fillId="2" borderId="17" xfId="26" applyFont="1" applyFill="1" applyBorder="1" applyAlignment="1">
      <alignment vertical="center"/>
      <protection/>
    </xf>
    <xf numFmtId="166" fontId="13" fillId="2" borderId="17" xfId="15" applyFont="1" applyFill="1" applyBorder="1" applyAlignment="1" applyProtection="1">
      <alignment vertical="center"/>
      <protection/>
    </xf>
    <xf numFmtId="166" fontId="13" fillId="2" borderId="31" xfId="15" applyFont="1" applyFill="1" applyBorder="1" applyAlignment="1" applyProtection="1">
      <alignment vertical="center"/>
      <protection/>
    </xf>
    <xf numFmtId="174" fontId="13" fillId="2" borderId="5" xfId="17" applyFont="1" applyFill="1" applyBorder="1" applyAlignment="1" applyProtection="1">
      <alignment vertical="center"/>
      <protection/>
    </xf>
    <xf numFmtId="180" fontId="0" fillId="0" borderId="0" xfId="26" applyNumberFormat="1" applyFont="1" applyAlignment="1">
      <alignment vertical="center"/>
      <protection/>
    </xf>
    <xf numFmtId="164" fontId="10" fillId="6" borderId="29" xfId="26" applyFont="1" applyFill="1" applyBorder="1" applyAlignment="1">
      <alignment horizontal="center" vertical="center" wrapText="1"/>
      <protection/>
    </xf>
    <xf numFmtId="166" fontId="0" fillId="0" borderId="12" xfId="15" applyFont="1" applyFill="1" applyBorder="1" applyAlignment="1" applyProtection="1">
      <alignment horizontal="center" vertical="center"/>
      <protection/>
    </xf>
    <xf numFmtId="174" fontId="0" fillId="4" borderId="30" xfId="17" applyFont="1" applyFill="1" applyBorder="1" applyAlignment="1" applyProtection="1">
      <alignment horizontal="center" vertical="center"/>
      <protection/>
    </xf>
    <xf numFmtId="166" fontId="0" fillId="0" borderId="33" xfId="15" applyFont="1" applyFill="1" applyBorder="1" applyAlignment="1" applyProtection="1">
      <alignment horizontal="center" vertical="center" wrapText="1"/>
      <protection/>
    </xf>
    <xf numFmtId="166" fontId="0" fillId="0" borderId="0" xfId="15" applyFont="1" applyFill="1" applyBorder="1" applyAlignment="1" applyProtection="1">
      <alignment horizontal="center" vertical="center" wrapText="1"/>
      <protection/>
    </xf>
    <xf numFmtId="164" fontId="0" fillId="0" borderId="12" xfId="26" applyFont="1" applyBorder="1" applyAlignment="1">
      <alignment horizontal="left" vertical="center"/>
      <protection/>
    </xf>
    <xf numFmtId="173" fontId="0" fillId="0" borderId="12" xfId="26" applyNumberFormat="1" applyFont="1" applyFill="1" applyBorder="1" applyAlignment="1">
      <alignment horizontal="center" vertical="center"/>
      <protection/>
    </xf>
    <xf numFmtId="164" fontId="14" fillId="2" borderId="17" xfId="26" applyFont="1" applyFill="1" applyBorder="1" applyAlignment="1">
      <alignment vertical="center"/>
      <protection/>
    </xf>
    <xf numFmtId="166" fontId="14" fillId="2" borderId="17" xfId="15" applyFont="1" applyFill="1" applyBorder="1" applyAlignment="1" applyProtection="1">
      <alignment vertical="center"/>
      <protection/>
    </xf>
    <xf numFmtId="166" fontId="14" fillId="2" borderId="31" xfId="15" applyFont="1" applyFill="1" applyBorder="1" applyAlignment="1" applyProtection="1">
      <alignment vertical="center"/>
      <protection/>
    </xf>
    <xf numFmtId="174" fontId="13" fillId="2" borderId="5" xfId="17" applyFont="1" applyFill="1" applyBorder="1" applyAlignment="1" applyProtection="1">
      <alignment horizontal="center" vertical="center"/>
      <protection/>
    </xf>
    <xf numFmtId="164" fontId="10" fillId="6" borderId="34" xfId="26" applyFont="1" applyFill="1" applyBorder="1" applyAlignment="1">
      <alignment horizontal="center" vertical="center"/>
      <protection/>
    </xf>
    <xf numFmtId="164" fontId="0" fillId="0" borderId="35" xfId="26" applyFont="1" applyBorder="1" applyAlignment="1">
      <alignment horizontal="center" vertical="center"/>
      <protection/>
    </xf>
    <xf numFmtId="166" fontId="0" fillId="0" borderId="12" xfId="15" applyFont="1" applyBorder="1">
      <alignment/>
      <protection/>
    </xf>
    <xf numFmtId="174" fontId="8" fillId="0" borderId="12" xfId="17" applyFont="1" applyFill="1" applyBorder="1" applyAlignment="1" applyProtection="1">
      <alignment vertical="center"/>
      <protection/>
    </xf>
    <xf numFmtId="164" fontId="8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81" fontId="0" fillId="0" borderId="0" xfId="15" applyNumberFormat="1" applyFont="1" applyAlignment="1">
      <alignment vertical="center"/>
      <protection/>
    </xf>
    <xf numFmtId="164" fontId="15" fillId="0" borderId="0" xfId="20" applyNumberFormat="1" applyFont="1" applyFill="1" applyBorder="1" applyAlignment="1" applyProtection="1">
      <alignment vertical="center"/>
      <protection/>
    </xf>
    <xf numFmtId="164" fontId="10" fillId="6" borderId="36" xfId="0" applyFont="1" applyFill="1" applyBorder="1" applyAlignment="1">
      <alignment horizontal="center" vertical="center"/>
    </xf>
    <xf numFmtId="164" fontId="10" fillId="6" borderId="37" xfId="0" applyFont="1" applyFill="1" applyBorder="1" applyAlignment="1">
      <alignment horizontal="center" vertical="center"/>
    </xf>
    <xf numFmtId="181" fontId="10" fillId="6" borderId="37" xfId="15" applyNumberFormat="1" applyFont="1" applyFill="1" applyBorder="1" applyAlignment="1">
      <alignment horizontal="center" vertical="center"/>
      <protection/>
    </xf>
    <xf numFmtId="181" fontId="10" fillId="6" borderId="38" xfId="15" applyNumberFormat="1" applyFont="1" applyFill="1" applyBorder="1" applyAlignment="1">
      <alignment horizontal="center" vertical="center"/>
      <protection/>
    </xf>
    <xf numFmtId="164" fontId="0" fillId="5" borderId="30" xfId="0" applyFont="1" applyFill="1" applyBorder="1" applyAlignment="1">
      <alignment vertical="center"/>
    </xf>
    <xf numFmtId="164" fontId="0" fillId="0" borderId="30" xfId="0" applyFont="1" applyBorder="1" applyAlignment="1">
      <alignment horizontal="center" vertical="center"/>
    </xf>
    <xf numFmtId="173" fontId="0" fillId="0" borderId="30" xfId="0" applyNumberFormat="1" applyFont="1" applyFill="1" applyBorder="1" applyAlignment="1">
      <alignment horizontal="center" vertical="center"/>
    </xf>
    <xf numFmtId="182" fontId="0" fillId="4" borderId="30" xfId="17" applyNumberFormat="1" applyFont="1" applyFill="1" applyBorder="1" applyAlignment="1">
      <alignment horizontal="center" vertical="center"/>
      <protection/>
    </xf>
    <xf numFmtId="182" fontId="0" fillId="0" borderId="30" xfId="17" applyNumberFormat="1" applyFont="1" applyBorder="1" applyAlignment="1">
      <alignment horizontal="center" vertical="center"/>
      <protection/>
    </xf>
    <xf numFmtId="164" fontId="0" fillId="0" borderId="12" xfId="0" applyFont="1" applyBorder="1" applyAlignment="1">
      <alignment vertical="center"/>
    </xf>
    <xf numFmtId="164" fontId="0" fillId="0" borderId="12" xfId="0" applyFont="1" applyBorder="1" applyAlignment="1">
      <alignment horizontal="center" vertical="center"/>
    </xf>
    <xf numFmtId="164" fontId="0" fillId="4" borderId="12" xfId="0" applyNumberFormat="1" applyFont="1" applyFill="1" applyBorder="1" applyAlignment="1">
      <alignment horizontal="center" vertical="center"/>
    </xf>
    <xf numFmtId="182" fontId="0" fillId="0" borderId="12" xfId="17" applyNumberFormat="1" applyFont="1" applyFill="1" applyBorder="1" applyAlignment="1">
      <alignment horizontal="center" vertical="center"/>
      <protection/>
    </xf>
    <xf numFmtId="182" fontId="0" fillId="0" borderId="12" xfId="17" applyNumberFormat="1" applyFont="1" applyBorder="1" applyAlignment="1">
      <alignment horizontal="center" vertical="center"/>
      <protection/>
    </xf>
    <xf numFmtId="181" fontId="0" fillId="0" borderId="0" xfId="15" applyNumberFormat="1" applyFont="1" applyAlignment="1">
      <alignment horizontal="center" vertical="center"/>
      <protection/>
    </xf>
    <xf numFmtId="177" fontId="0" fillId="7" borderId="12" xfId="15" applyNumberFormat="1" applyFont="1" applyFill="1" applyBorder="1" applyAlignment="1">
      <alignment horizontal="center" vertical="center"/>
      <protection/>
    </xf>
    <xf numFmtId="164" fontId="0" fillId="0" borderId="14" xfId="0" applyFont="1" applyBorder="1" applyAlignment="1">
      <alignment vertical="center"/>
    </xf>
    <xf numFmtId="164" fontId="0" fillId="0" borderId="1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82" fontId="0" fillId="0" borderId="14" xfId="17" applyNumberFormat="1" applyFont="1" applyBorder="1" applyAlignment="1">
      <alignment horizontal="center" vertical="center"/>
      <protection/>
    </xf>
    <xf numFmtId="182" fontId="8" fillId="0" borderId="14" xfId="17" applyNumberFormat="1" applyFont="1" applyBorder="1" applyAlignment="1">
      <alignment horizontal="center" vertical="center"/>
      <protection/>
    </xf>
    <xf numFmtId="164" fontId="0" fillId="0" borderId="12" xfId="0" applyNumberFormat="1" applyFont="1" applyBorder="1" applyAlignment="1">
      <alignment horizontal="center" vertical="center"/>
    </xf>
    <xf numFmtId="182" fontId="8" fillId="0" borderId="12" xfId="17" applyNumberFormat="1" applyFont="1" applyBorder="1" applyAlignment="1">
      <alignment horizontal="center" vertical="center"/>
      <protection/>
    </xf>
    <xf numFmtId="164" fontId="0" fillId="0" borderId="30" xfId="0" applyFont="1" applyBorder="1" applyAlignment="1">
      <alignment vertical="center"/>
    </xf>
    <xf numFmtId="173" fontId="0" fillId="0" borderId="30" xfId="0" applyNumberFormat="1" applyFont="1" applyBorder="1" applyAlignment="1">
      <alignment horizontal="center" vertical="center"/>
    </xf>
    <xf numFmtId="164" fontId="0" fillId="0" borderId="12" xfId="0" applyBorder="1" applyAlignment="1">
      <alignment vertical="center"/>
    </xf>
    <xf numFmtId="173" fontId="0" fillId="0" borderId="12" xfId="0" applyNumberFormat="1" applyFont="1" applyBorder="1" applyAlignment="1">
      <alignment horizontal="center" vertical="center"/>
    </xf>
    <xf numFmtId="182" fontId="0" fillId="4" borderId="12" xfId="17" applyNumberFormat="1" applyFont="1" applyFill="1" applyBorder="1" applyAlignment="1">
      <alignment horizontal="center" vertical="center"/>
      <protection/>
    </xf>
    <xf numFmtId="164" fontId="8" fillId="0" borderId="12" xfId="0" applyFont="1" applyBorder="1" applyAlignment="1">
      <alignment vertical="center"/>
    </xf>
    <xf numFmtId="164" fontId="8" fillId="0" borderId="12" xfId="0" applyFont="1" applyBorder="1" applyAlignment="1">
      <alignment horizontal="center" vertical="center"/>
    </xf>
    <xf numFmtId="164" fontId="0" fillId="5" borderId="12" xfId="0" applyFont="1" applyFill="1" applyBorder="1" applyAlignment="1">
      <alignment horizontal="center" vertical="center"/>
    </xf>
    <xf numFmtId="164" fontId="12" fillId="0" borderId="0" xfId="0" applyFont="1" applyBorder="1" applyAlignment="1">
      <alignment horizontal="left" vertical="center" wrapText="1"/>
    </xf>
    <xf numFmtId="181" fontId="0" fillId="0" borderId="0" xfId="15" applyNumberFormat="1" applyFont="1" applyAlignment="1">
      <alignment horizontal="right" vertical="center"/>
      <protection/>
    </xf>
    <xf numFmtId="181" fontId="0" fillId="0" borderId="12" xfId="15" applyNumberFormat="1" applyFont="1" applyBorder="1" applyAlignment="1">
      <alignment vertical="center"/>
      <protection/>
    </xf>
    <xf numFmtId="182" fontId="8" fillId="6" borderId="39" xfId="17" applyNumberFormat="1" applyFont="1" applyFill="1" applyBorder="1" applyAlignment="1">
      <alignment horizontal="center" vertical="center"/>
      <protection/>
    </xf>
    <xf numFmtId="164" fontId="8" fillId="0" borderId="40" xfId="0" applyFont="1" applyBorder="1" applyAlignment="1">
      <alignment vertical="center"/>
    </xf>
    <xf numFmtId="164" fontId="0" fillId="0" borderId="41" xfId="0" applyFont="1" applyBorder="1" applyAlignment="1">
      <alignment vertical="center"/>
    </xf>
    <xf numFmtId="181" fontId="0" fillId="0" borderId="41" xfId="15" applyNumberFormat="1" applyFont="1" applyBorder="1" applyAlignment="1">
      <alignment vertical="center"/>
      <protection/>
    </xf>
    <xf numFmtId="181" fontId="0" fillId="0" borderId="42" xfId="15" applyNumberFormat="1" applyFont="1" applyBorder="1" applyAlignment="1">
      <alignment vertical="center"/>
      <protection/>
    </xf>
    <xf numFmtId="181" fontId="8" fillId="6" borderId="39" xfId="15" applyNumberFormat="1" applyFont="1" applyFill="1" applyBorder="1" applyAlignment="1">
      <alignment vertical="center"/>
      <protection/>
    </xf>
    <xf numFmtId="164" fontId="10" fillId="6" borderId="43" xfId="26" applyFont="1" applyFill="1" applyBorder="1" applyAlignment="1">
      <alignment horizontal="center" vertical="center"/>
      <protection/>
    </xf>
    <xf numFmtId="166" fontId="10" fillId="6" borderId="43" xfId="15" applyFont="1" applyFill="1" applyBorder="1" applyAlignment="1" applyProtection="1">
      <alignment horizontal="center" vertical="center"/>
      <protection/>
    </xf>
    <xf numFmtId="166" fontId="10" fillId="6" borderId="9" xfId="15" applyFont="1" applyFill="1" applyBorder="1" applyAlignment="1" applyProtection="1">
      <alignment horizontal="center" vertical="center"/>
      <protection/>
    </xf>
    <xf numFmtId="164" fontId="0" fillId="5" borderId="12" xfId="26" applyFont="1" applyFill="1" applyBorder="1" applyAlignment="1">
      <alignment horizontal="left" vertical="center"/>
      <protection/>
    </xf>
    <xf numFmtId="164" fontId="0" fillId="5" borderId="12" xfId="26" applyFont="1" applyFill="1" applyBorder="1" applyAlignment="1">
      <alignment horizontal="center" vertical="center"/>
      <protection/>
    </xf>
    <xf numFmtId="170" fontId="0" fillId="5" borderId="12" xfId="26" applyNumberFormat="1" applyFont="1" applyFill="1" applyBorder="1" applyAlignment="1">
      <alignment horizontal="center" vertical="center"/>
      <protection/>
    </xf>
    <xf numFmtId="174" fontId="0" fillId="5" borderId="12" xfId="26" applyNumberFormat="1" applyFont="1" applyFill="1" applyBorder="1" applyAlignment="1">
      <alignment vertical="center"/>
      <protection/>
    </xf>
    <xf numFmtId="174" fontId="0" fillId="5" borderId="0" xfId="17" applyFont="1" applyFill="1" applyBorder="1" applyAlignment="1" applyProtection="1">
      <alignment vertical="center"/>
      <protection/>
    </xf>
    <xf numFmtId="164" fontId="13" fillId="5" borderId="0" xfId="26" applyFont="1" applyFill="1" applyBorder="1" applyAlignment="1">
      <alignment horizontal="left" vertical="center"/>
      <protection/>
    </xf>
    <xf numFmtId="174" fontId="13" fillId="5" borderId="0" xfId="17" applyFont="1" applyFill="1" applyBorder="1" applyAlignment="1" applyProtection="1">
      <alignment horizontal="center" vertical="center"/>
      <protection/>
    </xf>
    <xf numFmtId="164" fontId="13" fillId="2" borderId="5" xfId="26" applyFont="1" applyFill="1" applyBorder="1" applyAlignment="1">
      <alignment horizontal="left" vertical="center"/>
      <protection/>
    </xf>
    <xf numFmtId="164" fontId="8" fillId="0" borderId="16" xfId="26" applyFont="1" applyBorder="1" applyAlignment="1">
      <alignment vertical="center"/>
      <protection/>
    </xf>
    <xf numFmtId="164" fontId="0" fillId="0" borderId="17" xfId="26" applyFont="1" applyBorder="1" applyAlignment="1">
      <alignment vertical="center"/>
      <protection/>
    </xf>
    <xf numFmtId="166" fontId="0" fillId="0" borderId="17" xfId="15" applyFont="1" applyFill="1" applyBorder="1" applyAlignment="1" applyProtection="1">
      <alignment vertical="center"/>
      <protection/>
    </xf>
    <xf numFmtId="166" fontId="0" fillId="0" borderId="31" xfId="15" applyFont="1" applyFill="1" applyBorder="1" applyAlignment="1" applyProtection="1">
      <alignment vertical="center"/>
      <protection/>
    </xf>
    <xf numFmtId="174" fontId="8" fillId="6" borderId="0" xfId="17" applyFont="1" applyFill="1" applyBorder="1" applyAlignment="1" applyProtection="1">
      <alignment vertical="center"/>
      <protection/>
    </xf>
    <xf numFmtId="164" fontId="7" fillId="0" borderId="0" xfId="26" applyFont="1" applyBorder="1" applyAlignment="1">
      <alignment vertical="center"/>
      <protection/>
    </xf>
    <xf numFmtId="166" fontId="7" fillId="0" borderId="0" xfId="15" applyFont="1" applyFill="1" applyBorder="1" applyAlignment="1" applyProtection="1">
      <alignment vertical="center"/>
      <protection/>
    </xf>
    <xf numFmtId="169" fontId="0" fillId="0" borderId="0" xfId="19" applyFont="1" applyFill="1" applyBorder="1" applyAlignment="1" applyProtection="1">
      <alignment vertical="center"/>
      <protection/>
    </xf>
    <xf numFmtId="164" fontId="0" fillId="0" borderId="0" xfId="26" applyFont="1">
      <alignment/>
      <protection/>
    </xf>
    <xf numFmtId="167" fontId="0" fillId="0" borderId="0" xfId="26" applyNumberFormat="1" applyFont="1" applyBorder="1" applyAlignment="1">
      <alignment vertical="center"/>
      <protection/>
    </xf>
    <xf numFmtId="164" fontId="4" fillId="3" borderId="44" xfId="26" applyFont="1" applyFill="1" applyBorder="1" applyAlignment="1">
      <alignment horizontal="center" vertical="center"/>
      <protection/>
    </xf>
    <xf numFmtId="164" fontId="4" fillId="0" borderId="0" xfId="26" applyFont="1" applyFill="1" applyAlignment="1">
      <alignment vertical="center"/>
      <protection/>
    </xf>
    <xf numFmtId="164" fontId="17" fillId="0" borderId="45" xfId="26" applyFont="1" applyBorder="1" applyAlignment="1">
      <alignment horizontal="left" vertical="center"/>
      <protection/>
    </xf>
    <xf numFmtId="164" fontId="17" fillId="0" borderId="12" xfId="26" applyFont="1" applyBorder="1" applyAlignment="1">
      <alignment horizontal="left" vertical="center"/>
      <protection/>
    </xf>
    <xf numFmtId="164" fontId="17" fillId="0" borderId="25" xfId="26" applyFont="1" applyBorder="1" applyAlignment="1">
      <alignment horizontal="left" vertical="center"/>
      <protection/>
    </xf>
    <xf numFmtId="164" fontId="5" fillId="0" borderId="12" xfId="26" applyFont="1" applyBorder="1" applyAlignment="1">
      <alignment horizontal="left" vertical="center"/>
      <protection/>
    </xf>
    <xf numFmtId="170" fontId="5" fillId="0" borderId="25" xfId="26" applyNumberFormat="1" applyFont="1" applyBorder="1" applyAlignment="1">
      <alignment horizontal="right" vertical="center"/>
      <protection/>
    </xf>
    <xf numFmtId="164" fontId="0" fillId="0" borderId="0" xfId="26" applyFont="1" applyBorder="1">
      <alignment/>
      <protection/>
    </xf>
    <xf numFmtId="164" fontId="6" fillId="0" borderId="12" xfId="26" applyFont="1" applyBorder="1" applyAlignment="1">
      <alignment horizontal="left" vertical="center"/>
      <protection/>
    </xf>
    <xf numFmtId="170" fontId="6" fillId="0" borderId="25" xfId="26" applyNumberFormat="1" applyFont="1" applyBorder="1" applyAlignment="1">
      <alignment horizontal="right" vertical="center"/>
      <protection/>
    </xf>
    <xf numFmtId="164" fontId="17" fillId="8" borderId="45" xfId="26" applyFont="1" applyFill="1" applyBorder="1" applyAlignment="1">
      <alignment horizontal="left" vertical="center"/>
      <protection/>
    </xf>
    <xf numFmtId="164" fontId="6" fillId="8" borderId="12" xfId="26" applyFont="1" applyFill="1" applyBorder="1" applyAlignment="1">
      <alignment horizontal="left" vertical="center"/>
      <protection/>
    </xf>
    <xf numFmtId="170" fontId="6" fillId="8" borderId="25" xfId="26" applyNumberFormat="1" applyFont="1" applyFill="1" applyBorder="1" applyAlignment="1">
      <alignment horizontal="right" vertical="center"/>
      <protection/>
    </xf>
    <xf numFmtId="170" fontId="0" fillId="0" borderId="0" xfId="26" applyNumberFormat="1" applyFont="1">
      <alignment/>
      <protection/>
    </xf>
    <xf numFmtId="169" fontId="17" fillId="0" borderId="0" xfId="19" applyFont="1" applyFill="1" applyBorder="1" applyAlignment="1" applyProtection="1">
      <alignment horizontal="right" vertical="center"/>
      <protection/>
    </xf>
    <xf numFmtId="170" fontId="0" fillId="0" borderId="0" xfId="26" applyNumberFormat="1" applyFont="1" applyBorder="1">
      <alignment/>
      <protection/>
    </xf>
    <xf numFmtId="164" fontId="5" fillId="0" borderId="12" xfId="26" applyFont="1" applyBorder="1" applyAlignment="1">
      <alignment horizontal="left" vertical="center" wrapText="1"/>
      <protection/>
    </xf>
    <xf numFmtId="164" fontId="18" fillId="0" borderId="12" xfId="26" applyFont="1" applyBorder="1" applyAlignment="1">
      <alignment horizontal="left" vertical="center"/>
      <protection/>
    </xf>
    <xf numFmtId="170" fontId="18" fillId="0" borderId="25" xfId="26" applyNumberFormat="1" applyFont="1" applyBorder="1" applyAlignment="1">
      <alignment horizontal="right" vertical="center"/>
      <protection/>
    </xf>
    <xf numFmtId="164" fontId="17" fillId="9" borderId="46" xfId="26" applyFont="1" applyFill="1" applyBorder="1" applyAlignment="1">
      <alignment horizontal="left" vertical="center"/>
      <protection/>
    </xf>
    <xf numFmtId="164" fontId="18" fillId="9" borderId="15" xfId="26" applyFont="1" applyFill="1" applyBorder="1" applyAlignment="1">
      <alignment horizontal="left" vertical="center"/>
      <protection/>
    </xf>
    <xf numFmtId="170" fontId="18" fillId="9" borderId="47" xfId="26" applyNumberFormat="1" applyFont="1" applyFill="1" applyBorder="1" applyAlignment="1">
      <alignment horizontal="right" vertical="center"/>
      <protection/>
    </xf>
    <xf numFmtId="164" fontId="8" fillId="0" borderId="0" xfId="26" applyFont="1">
      <alignment/>
      <protection/>
    </xf>
    <xf numFmtId="164" fontId="0" fillId="0" borderId="0" xfId="26" applyFont="1" applyBorder="1" applyAlignment="1">
      <alignment horizontal="left" wrapText="1"/>
      <protection/>
    </xf>
    <xf numFmtId="164" fontId="4" fillId="10" borderId="44" xfId="26" applyFont="1" applyFill="1" applyBorder="1" applyAlignment="1">
      <alignment horizontal="center"/>
      <protection/>
    </xf>
    <xf numFmtId="164" fontId="19" fillId="0" borderId="48" xfId="26" applyFont="1" applyBorder="1" applyAlignment="1">
      <alignment horizontal="center"/>
      <protection/>
    </xf>
    <xf numFmtId="164" fontId="18" fillId="0" borderId="49" xfId="26" applyFont="1" applyBorder="1">
      <alignment/>
      <protection/>
    </xf>
    <xf numFmtId="164" fontId="18" fillId="4" borderId="25" xfId="26" applyFont="1" applyFill="1" applyBorder="1">
      <alignment/>
      <protection/>
    </xf>
    <xf numFmtId="164" fontId="18" fillId="0" borderId="45" xfId="26" applyFont="1" applyBorder="1">
      <alignment/>
      <protection/>
    </xf>
    <xf numFmtId="164" fontId="5" fillId="0" borderId="45" xfId="26" applyFont="1" applyBorder="1">
      <alignment/>
      <protection/>
    </xf>
    <xf numFmtId="164" fontId="5" fillId="4" borderId="25" xfId="26" applyFont="1" applyFill="1" applyBorder="1">
      <alignment/>
      <protection/>
    </xf>
    <xf numFmtId="164" fontId="5" fillId="0" borderId="49" xfId="26" applyFont="1" applyBorder="1">
      <alignment/>
      <protection/>
    </xf>
    <xf numFmtId="164" fontId="5" fillId="4" borderId="50" xfId="26" applyFont="1" applyFill="1" applyBorder="1">
      <alignment/>
      <protection/>
    </xf>
    <xf numFmtId="164" fontId="18" fillId="0" borderId="10" xfId="26" applyFont="1" applyBorder="1">
      <alignment/>
      <protection/>
    </xf>
    <xf numFmtId="164" fontId="5" fillId="0" borderId="13" xfId="26" applyFont="1" applyBorder="1">
      <alignment/>
      <protection/>
    </xf>
    <xf numFmtId="164" fontId="5" fillId="0" borderId="51" xfId="26" applyFont="1" applyBorder="1">
      <alignment/>
      <protection/>
    </xf>
    <xf numFmtId="164" fontId="5" fillId="4" borderId="24" xfId="26" applyFont="1" applyFill="1" applyBorder="1">
      <alignment/>
      <protection/>
    </xf>
    <xf numFmtId="164" fontId="5" fillId="0" borderId="3" xfId="26" applyFont="1" applyBorder="1">
      <alignment/>
      <protection/>
    </xf>
    <xf numFmtId="164" fontId="5" fillId="0" borderId="4" xfId="26" applyFont="1" applyBorder="1">
      <alignment/>
      <protection/>
    </xf>
    <xf numFmtId="164" fontId="18" fillId="0" borderId="52" xfId="26" applyFont="1" applyBorder="1">
      <alignment/>
      <protection/>
    </xf>
    <xf numFmtId="183" fontId="18" fillId="0" borderId="50" xfId="26" applyNumberFormat="1" applyFont="1" applyBorder="1">
      <alignment/>
      <protection/>
    </xf>
    <xf numFmtId="164" fontId="18" fillId="0" borderId="53" xfId="26" applyFont="1" applyBorder="1">
      <alignment/>
      <protection/>
    </xf>
    <xf numFmtId="164" fontId="18" fillId="0" borderId="50" xfId="26" applyFont="1" applyBorder="1">
      <alignment/>
      <protection/>
    </xf>
    <xf numFmtId="164" fontId="6" fillId="0" borderId="50" xfId="26" applyFont="1" applyBorder="1">
      <alignment/>
      <protection/>
    </xf>
    <xf numFmtId="169" fontId="6" fillId="0" borderId="50" xfId="26" applyNumberFormat="1" applyFont="1" applyBorder="1">
      <alignment/>
      <protection/>
    </xf>
    <xf numFmtId="183" fontId="6" fillId="0" borderId="50" xfId="26" applyNumberFormat="1" applyFont="1" applyBorder="1">
      <alignment/>
      <protection/>
    </xf>
    <xf numFmtId="164" fontId="18" fillId="0" borderId="25" xfId="26" applyFont="1" applyBorder="1">
      <alignment/>
      <protection/>
    </xf>
    <xf numFmtId="164" fontId="18" fillId="0" borderId="26" xfId="26" applyFont="1" applyBorder="1">
      <alignment/>
      <protection/>
    </xf>
    <xf numFmtId="183" fontId="6" fillId="0" borderId="28" xfId="26" applyNumberFormat="1" applyFont="1" applyBorder="1">
      <alignment/>
      <protection/>
    </xf>
    <xf numFmtId="164" fontId="0" fillId="0" borderId="0" xfId="26">
      <alignment/>
      <protection/>
    </xf>
    <xf numFmtId="164" fontId="0" fillId="0" borderId="0" xfId="26" applyAlignment="1">
      <alignment horizontal="center"/>
      <protection/>
    </xf>
    <xf numFmtId="164" fontId="5" fillId="0" borderId="0" xfId="26" applyFont="1" applyFill="1" applyAlignment="1">
      <alignment vertical="center"/>
      <protection/>
    </xf>
    <xf numFmtId="164" fontId="5" fillId="0" borderId="0" xfId="26" applyFont="1">
      <alignment/>
      <protection/>
    </xf>
    <xf numFmtId="164" fontId="5" fillId="0" borderId="0" xfId="26" applyFont="1" applyAlignment="1">
      <alignment horizontal="center"/>
      <protection/>
    </xf>
    <xf numFmtId="164" fontId="7" fillId="10" borderId="1" xfId="26" applyFont="1" applyFill="1" applyBorder="1" applyAlignment="1">
      <alignment horizontal="center" vertical="center"/>
      <protection/>
    </xf>
    <xf numFmtId="164" fontId="7" fillId="0" borderId="3" xfId="26" applyFont="1" applyFill="1" applyBorder="1" applyAlignment="1">
      <alignment horizontal="center" vertical="center"/>
      <protection/>
    </xf>
    <xf numFmtId="164" fontId="7" fillId="0" borderId="0" xfId="26" applyFont="1" applyFill="1" applyBorder="1" applyAlignment="1">
      <alignment horizontal="center" vertical="center"/>
      <protection/>
    </xf>
    <xf numFmtId="164" fontId="7" fillId="0" borderId="4" xfId="26" applyFont="1" applyFill="1" applyBorder="1" applyAlignment="1">
      <alignment horizontal="center" vertical="center"/>
      <protection/>
    </xf>
    <xf numFmtId="164" fontId="6" fillId="0" borderId="3" xfId="26" applyFont="1" applyFill="1" applyBorder="1" applyAlignment="1">
      <alignment horizontal="left" vertical="center"/>
      <protection/>
    </xf>
    <xf numFmtId="164" fontId="5" fillId="0" borderId="0" xfId="26" applyFont="1" applyFill="1" applyBorder="1" applyAlignment="1">
      <alignment vertical="center"/>
      <protection/>
    </xf>
    <xf numFmtId="169" fontId="6" fillId="0" borderId="44" xfId="19" applyFont="1" applyFill="1" applyBorder="1" applyAlignment="1" applyProtection="1">
      <alignment horizontal="center"/>
      <protection/>
    </xf>
    <xf numFmtId="164" fontId="5" fillId="0" borderId="0" xfId="26" applyFont="1" applyBorder="1">
      <alignment/>
      <protection/>
    </xf>
    <xf numFmtId="169" fontId="5" fillId="0" borderId="45" xfId="19" applyFont="1" applyFill="1" applyBorder="1" applyAlignment="1" applyProtection="1">
      <alignment/>
      <protection/>
    </xf>
    <xf numFmtId="169" fontId="5" fillId="0" borderId="12" xfId="19" applyFont="1" applyFill="1" applyBorder="1" applyAlignment="1" applyProtection="1">
      <alignment horizontal="center"/>
      <protection/>
    </xf>
    <xf numFmtId="169" fontId="5" fillId="0" borderId="25" xfId="19" applyFont="1" applyFill="1" applyBorder="1" applyAlignment="1" applyProtection="1">
      <alignment/>
      <protection/>
    </xf>
    <xf numFmtId="164" fontId="5" fillId="0" borderId="54" xfId="26" applyFont="1" applyFill="1" applyBorder="1" applyAlignment="1">
      <alignment horizontal="left" vertical="center"/>
      <protection/>
    </xf>
    <xf numFmtId="164" fontId="5" fillId="0" borderId="55" xfId="26" applyFont="1" applyFill="1" applyBorder="1" applyAlignment="1">
      <alignment horizontal="center" vertical="center"/>
      <protection/>
    </xf>
    <xf numFmtId="170" fontId="5" fillId="4" borderId="9" xfId="26" applyNumberFormat="1" applyFont="1" applyFill="1" applyBorder="1" applyAlignment="1">
      <alignment horizontal="center" vertical="center"/>
      <protection/>
    </xf>
    <xf numFmtId="170" fontId="5" fillId="0" borderId="45" xfId="19" applyNumberFormat="1" applyFont="1" applyFill="1" applyBorder="1" applyAlignment="1" applyProtection="1">
      <alignment horizontal="right"/>
      <protection/>
    </xf>
    <xf numFmtId="170" fontId="5" fillId="0" borderId="12" xfId="19" applyNumberFormat="1" applyFont="1" applyFill="1" applyBorder="1" applyAlignment="1" applyProtection="1">
      <alignment horizontal="right"/>
      <protection/>
    </xf>
    <xf numFmtId="170" fontId="5" fillId="0" borderId="25" xfId="19" applyNumberFormat="1" applyFont="1" applyFill="1" applyBorder="1" applyAlignment="1" applyProtection="1">
      <alignment horizontal="right"/>
      <protection/>
    </xf>
    <xf numFmtId="164" fontId="5" fillId="0" borderId="45" xfId="26" applyFont="1" applyFill="1" applyBorder="1" applyAlignment="1">
      <alignment horizontal="left" vertical="center"/>
      <protection/>
    </xf>
    <xf numFmtId="164" fontId="5" fillId="0" borderId="12" xfId="26" applyFont="1" applyFill="1" applyBorder="1" applyAlignment="1">
      <alignment horizontal="center" vertical="center"/>
      <protection/>
    </xf>
    <xf numFmtId="170" fontId="5" fillId="4" borderId="25" xfId="26" applyNumberFormat="1" applyFont="1" applyFill="1" applyBorder="1" applyAlignment="1">
      <alignment horizontal="center" vertical="center"/>
      <protection/>
    </xf>
    <xf numFmtId="170" fontId="5" fillId="4" borderId="12" xfId="19" applyNumberFormat="1" applyFont="1" applyFill="1" applyBorder="1" applyAlignment="1" applyProtection="1">
      <alignment horizontal="center"/>
      <protection/>
    </xf>
    <xf numFmtId="170" fontId="5" fillId="0" borderId="25" xfId="19" applyNumberFormat="1" applyFont="1" applyFill="1" applyBorder="1" applyAlignment="1" applyProtection="1">
      <alignment/>
      <protection/>
    </xf>
    <xf numFmtId="164" fontId="5" fillId="0" borderId="15" xfId="26" applyFont="1" applyFill="1" applyBorder="1" applyAlignment="1">
      <alignment horizontal="center" vertical="center"/>
      <protection/>
    </xf>
    <xf numFmtId="164" fontId="5" fillId="0" borderId="45" xfId="26" applyFont="1" applyBorder="1" applyAlignment="1">
      <alignment horizontal="right"/>
      <protection/>
    </xf>
    <xf numFmtId="170" fontId="5" fillId="4" borderId="12" xfId="26" applyNumberFormat="1" applyFont="1" applyFill="1" applyBorder="1" applyAlignment="1">
      <alignment horizontal="center"/>
      <protection/>
    </xf>
    <xf numFmtId="164" fontId="5" fillId="0" borderId="25" xfId="26" applyFont="1" applyBorder="1">
      <alignment/>
      <protection/>
    </xf>
    <xf numFmtId="164" fontId="5" fillId="0" borderId="46" xfId="26" applyFont="1" applyFill="1" applyBorder="1" applyAlignment="1">
      <alignment horizontal="left" vertical="center"/>
      <protection/>
    </xf>
    <xf numFmtId="170" fontId="5" fillId="4" borderId="47" xfId="26" applyNumberFormat="1" applyFont="1" applyFill="1" applyBorder="1" applyAlignment="1">
      <alignment horizontal="center" vertical="center"/>
      <protection/>
    </xf>
    <xf numFmtId="170" fontId="5" fillId="0" borderId="12" xfId="26" applyNumberFormat="1" applyFont="1" applyBorder="1" applyAlignment="1">
      <alignment horizontal="center"/>
      <protection/>
    </xf>
    <xf numFmtId="164" fontId="5" fillId="0" borderId="56" xfId="26" applyFont="1" applyFill="1" applyBorder="1" applyAlignment="1">
      <alignment vertical="center"/>
      <protection/>
    </xf>
    <xf numFmtId="164" fontId="5" fillId="0" borderId="57" xfId="26" applyFont="1" applyFill="1" applyBorder="1" applyAlignment="1">
      <alignment vertical="center"/>
      <protection/>
    </xf>
    <xf numFmtId="170" fontId="5" fillId="0" borderId="58" xfId="26" applyNumberFormat="1" applyFont="1" applyFill="1" applyBorder="1" applyAlignment="1">
      <alignment vertical="center"/>
      <protection/>
    </xf>
    <xf numFmtId="164" fontId="5" fillId="0" borderId="12" xfId="26" applyFont="1" applyBorder="1" applyAlignment="1">
      <alignment horizontal="center"/>
      <protection/>
    </xf>
    <xf numFmtId="164" fontId="5" fillId="0" borderId="26" xfId="26" applyFont="1" applyFill="1" applyBorder="1" applyAlignment="1">
      <alignment horizontal="left" vertical="center"/>
      <protection/>
    </xf>
    <xf numFmtId="164" fontId="5" fillId="0" borderId="27" xfId="26" applyFont="1" applyFill="1" applyBorder="1" applyAlignment="1">
      <alignment horizontal="left" vertical="center"/>
      <protection/>
    </xf>
    <xf numFmtId="164" fontId="5" fillId="0" borderId="59" xfId="26" applyFont="1" applyFill="1" applyBorder="1" applyAlignment="1">
      <alignment vertical="center"/>
      <protection/>
    </xf>
    <xf numFmtId="164" fontId="6" fillId="8" borderId="16" xfId="26" applyFont="1" applyFill="1" applyBorder="1" applyAlignment="1">
      <alignment vertical="center" wrapText="1"/>
      <protection/>
    </xf>
    <xf numFmtId="164" fontId="5" fillId="8" borderId="17" xfId="26" applyFont="1" applyFill="1" applyBorder="1" applyAlignment="1">
      <alignment vertical="center"/>
      <protection/>
    </xf>
    <xf numFmtId="170" fontId="6" fillId="8" borderId="31" xfId="19" applyNumberFormat="1" applyFont="1" applyFill="1" applyBorder="1" applyAlignment="1" applyProtection="1">
      <alignment horizontal="center" vertical="center" wrapText="1"/>
      <protection/>
    </xf>
    <xf numFmtId="170" fontId="5" fillId="0" borderId="46" xfId="19" applyNumberFormat="1" applyFont="1" applyFill="1" applyBorder="1" applyAlignment="1" applyProtection="1">
      <alignment horizontal="right"/>
      <protection/>
    </xf>
    <xf numFmtId="170" fontId="5" fillId="0" borderId="15" xfId="19" applyNumberFormat="1" applyFont="1" applyFill="1" applyBorder="1" applyAlignment="1" applyProtection="1">
      <alignment horizontal="right"/>
      <protection/>
    </xf>
    <xf numFmtId="170" fontId="5" fillId="0" borderId="47" xfId="19" applyNumberFormat="1" applyFont="1" applyFill="1" applyBorder="1" applyAlignment="1" applyProtection="1">
      <alignment horizontal="right"/>
      <protection/>
    </xf>
    <xf numFmtId="164" fontId="5" fillId="0" borderId="0" xfId="26" applyFont="1" applyBorder="1" applyAlignment="1">
      <alignment horizontal="left"/>
      <protection/>
    </xf>
    <xf numFmtId="164" fontId="5" fillId="0" borderId="0" xfId="26" applyFont="1" applyBorder="1" applyAlignment="1">
      <alignment horizontal="center"/>
      <protection/>
    </xf>
    <xf numFmtId="164" fontId="7" fillId="10" borderId="16" xfId="26" applyFont="1" applyFill="1" applyBorder="1" applyAlignment="1">
      <alignment horizontal="center" vertical="center"/>
      <protection/>
    </xf>
    <xf numFmtId="164" fontId="18" fillId="0" borderId="45" xfId="26" applyFont="1" applyBorder="1" applyAlignment="1">
      <alignment horizontal="center" vertical="center"/>
      <protection/>
    </xf>
    <xf numFmtId="164" fontId="18" fillId="11" borderId="12" xfId="26" applyFont="1" applyFill="1" applyBorder="1" applyAlignment="1">
      <alignment horizontal="center" vertical="center"/>
      <protection/>
    </xf>
    <xf numFmtId="164" fontId="17" fillId="0" borderId="45" xfId="26" applyFont="1" applyBorder="1" applyAlignment="1">
      <alignment horizontal="center" vertical="center"/>
      <protection/>
    </xf>
    <xf numFmtId="177" fontId="17" fillId="11" borderId="12" xfId="26" applyNumberFormat="1" applyFont="1" applyFill="1" applyBorder="1" applyAlignment="1">
      <alignment horizontal="right" vertical="center"/>
      <protection/>
    </xf>
    <xf numFmtId="164" fontId="17" fillId="0" borderId="46" xfId="26" applyFont="1" applyBorder="1" applyAlignment="1">
      <alignment horizontal="center" vertical="center"/>
      <protection/>
    </xf>
    <xf numFmtId="177" fontId="17" fillId="11" borderId="15" xfId="26" applyNumberFormat="1" applyFont="1" applyFill="1" applyBorder="1" applyAlignment="1">
      <alignment horizontal="right" vertical="center"/>
      <protection/>
    </xf>
    <xf numFmtId="164" fontId="20" fillId="0" borderId="0" xfId="22" applyFont="1">
      <alignment/>
      <protection/>
    </xf>
    <xf numFmtId="164" fontId="1" fillId="0" borderId="0" xfId="21">
      <alignment/>
      <protection/>
    </xf>
    <xf numFmtId="164" fontId="21" fillId="0" borderId="0" xfId="21" applyFont="1">
      <alignment/>
      <protection/>
    </xf>
    <xf numFmtId="164" fontId="21" fillId="0" borderId="12" xfId="21" applyFont="1" applyBorder="1">
      <alignment/>
      <protection/>
    </xf>
    <xf numFmtId="164" fontId="21" fillId="0" borderId="12" xfId="21" applyFont="1" applyBorder="1" applyAlignment="1">
      <alignment horizontal="center"/>
      <protection/>
    </xf>
    <xf numFmtId="184" fontId="21" fillId="0" borderId="12" xfId="21" applyNumberFormat="1" applyFont="1" applyBorder="1">
      <alignment/>
      <protection/>
    </xf>
    <xf numFmtId="185" fontId="1" fillId="0" borderId="0" xfId="21" applyNumberFormat="1">
      <alignment/>
      <protection/>
    </xf>
    <xf numFmtId="164" fontId="1" fillId="0" borderId="35" xfId="21" applyFont="1" applyBorder="1">
      <alignment/>
      <protection/>
    </xf>
    <xf numFmtId="164" fontId="1" fillId="0" borderId="11" xfId="21" applyBorder="1">
      <alignment/>
      <protection/>
    </xf>
    <xf numFmtId="181" fontId="1" fillId="0" borderId="12" xfId="15" applyNumberFormat="1" applyFont="1" applyBorder="1">
      <alignment/>
      <protection/>
    </xf>
    <xf numFmtId="164" fontId="1" fillId="0" borderId="12" xfId="21" applyBorder="1">
      <alignment/>
      <protection/>
    </xf>
    <xf numFmtId="164" fontId="21" fillId="0" borderId="35" xfId="21" applyFont="1" applyBorder="1">
      <alignment/>
      <protection/>
    </xf>
    <xf numFmtId="164" fontId="21" fillId="0" borderId="11" xfId="21" applyFont="1" applyBorder="1">
      <alignment/>
      <protection/>
    </xf>
    <xf numFmtId="181" fontId="21" fillId="0" borderId="12" xfId="15" applyNumberFormat="1" applyFont="1" applyBorder="1">
      <alignment/>
      <protection/>
    </xf>
    <xf numFmtId="170" fontId="21" fillId="0" borderId="12" xfId="19" applyNumberFormat="1" applyFont="1" applyBorder="1">
      <alignment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2 3" xfId="21"/>
    <cellStyle name="Normal 6" xfId="22"/>
    <cellStyle name="Resultado" xfId="23"/>
    <cellStyle name="Resultado2" xfId="24"/>
    <cellStyle name="Título1" xfId="25"/>
    <cellStyle name="Excel Built-in Norm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BFBFBF"/>
      <rgbColor rgb="00FF99CC"/>
      <rgbColor rgb="00CC99FF"/>
      <rgbColor rgb="00DDD9C3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workbookViewId="0" topLeftCell="A1">
      <pane ySplit="1" topLeftCell="A2" activePane="bottomLeft" state="frozen"/>
      <selection pane="topLeft" activeCell="A1" sqref="A1"/>
      <selection pane="bottomLeft" activeCell="G82" sqref="G82"/>
    </sheetView>
  </sheetViews>
  <sheetFormatPr defaultColWidth="8.00390625" defaultRowHeight="9" customHeight="1"/>
  <cols>
    <col min="1" max="1" width="44.421875" style="1" customWidth="1"/>
    <col min="2" max="2" width="16.00390625" style="1" customWidth="1"/>
    <col min="3" max="3" width="14.57421875" style="1" customWidth="1"/>
    <col min="4" max="4" width="14.7109375" style="2" customWidth="1"/>
    <col min="5" max="5" width="15.421875" style="2" customWidth="1"/>
    <col min="6" max="6" width="15.00390625" style="2" customWidth="1"/>
    <col min="7" max="7" width="28.140625" style="2" customWidth="1"/>
    <col min="8" max="8" width="23.8515625" style="1" hidden="1" customWidth="1"/>
    <col min="9" max="9" width="14.57421875" style="1" customWidth="1"/>
    <col min="10" max="10" width="13.421875" style="1" customWidth="1"/>
    <col min="11" max="11" width="10.57421875" style="1" customWidth="1"/>
    <col min="12" max="16384" width="9.140625" style="1" customWidth="1"/>
  </cols>
  <sheetData>
    <row r="1" spans="1:7" s="4" customFormat="1" ht="21.75" customHeight="1">
      <c r="A1" s="3" t="s">
        <v>0</v>
      </c>
      <c r="B1" s="3"/>
      <c r="C1" s="3"/>
      <c r="D1" s="3"/>
      <c r="E1" s="3"/>
      <c r="F1" s="3"/>
      <c r="G1" s="2"/>
    </row>
    <row r="2" spans="1:7" s="7" customFormat="1" ht="15" customHeight="1">
      <c r="A2" s="5" t="s">
        <v>1</v>
      </c>
      <c r="B2" s="5"/>
      <c r="C2" s="5"/>
      <c r="D2" s="5"/>
      <c r="E2" s="5"/>
      <c r="F2" s="5"/>
      <c r="G2" s="6"/>
    </row>
    <row r="3" spans="1:7" s="7" customFormat="1" ht="24" customHeight="1">
      <c r="A3" s="5"/>
      <c r="B3" s="5"/>
      <c r="C3" s="5"/>
      <c r="D3" s="5"/>
      <c r="E3" s="5"/>
      <c r="F3" s="5"/>
      <c r="G3" s="6"/>
    </row>
    <row r="4" spans="1:7" s="7" customFormat="1" ht="21.75" customHeight="1">
      <c r="A4" s="8" t="s">
        <v>2</v>
      </c>
      <c r="B4" s="8"/>
      <c r="C4" s="8"/>
      <c r="D4" s="8"/>
      <c r="E4" s="8"/>
      <c r="F4" s="8"/>
      <c r="G4" s="6"/>
    </row>
    <row r="5" spans="1:7" s="4" customFormat="1" ht="10.5" customHeight="1">
      <c r="A5" s="9"/>
      <c r="B5" s="10"/>
      <c r="C5" s="10"/>
      <c r="D5" s="2"/>
      <c r="E5" s="2"/>
      <c r="F5" s="11"/>
      <c r="G5" s="2"/>
    </row>
    <row r="6" spans="1:7" s="4" customFormat="1" ht="15.75" customHeight="1">
      <c r="A6" s="12" t="s">
        <v>3</v>
      </c>
      <c r="B6" s="12"/>
      <c r="C6" s="12"/>
      <c r="D6" s="12"/>
      <c r="E6" s="12"/>
      <c r="F6" s="12"/>
      <c r="G6" s="2"/>
    </row>
    <row r="7" spans="1:7" s="4" customFormat="1" ht="15.75" customHeight="1">
      <c r="A7" s="13" t="s">
        <v>4</v>
      </c>
      <c r="B7" s="14"/>
      <c r="C7" s="14"/>
      <c r="D7" s="15"/>
      <c r="E7" s="16" t="s">
        <v>5</v>
      </c>
      <c r="F7" s="17" t="s">
        <v>6</v>
      </c>
      <c r="G7" s="2"/>
    </row>
    <row r="8" spans="1:7" s="24" customFormat="1" ht="15.75" customHeight="1">
      <c r="A8" s="18">
        <f aca="true" t="shared" si="0" ref="A8:A9">A37</f>
        <v>0</v>
      </c>
      <c r="B8" s="19"/>
      <c r="C8" s="20"/>
      <c r="D8" s="20"/>
      <c r="E8" s="21">
        <f>+F65</f>
        <v>2413.883349818182</v>
      </c>
      <c r="F8" s="22">
        <f aca="true" t="shared" si="1" ref="F8:F16">E8/$E$17</f>
        <v>0.5607481875107115</v>
      </c>
      <c r="G8" s="23"/>
    </row>
    <row r="9" spans="1:7" s="4" customFormat="1" ht="15.75" customHeight="1">
      <c r="A9" s="25">
        <f t="shared" si="0"/>
        <v>0</v>
      </c>
      <c r="B9" s="26"/>
      <c r="C9" s="27"/>
      <c r="D9" s="27"/>
      <c r="E9" s="28">
        <f>F46</f>
        <v>2144.6614407272727</v>
      </c>
      <c r="F9" s="29">
        <f t="shared" si="1"/>
        <v>0.49820759391812064</v>
      </c>
      <c r="G9" s="2"/>
    </row>
    <row r="10" spans="1:7" s="4" customFormat="1" ht="15.75" customHeight="1" hidden="1">
      <c r="A10" s="25">
        <f>A50</f>
        <v>0</v>
      </c>
      <c r="B10" s="26"/>
      <c r="C10" s="27"/>
      <c r="D10" s="27"/>
      <c r="E10" s="28">
        <f>F57</f>
        <v>0</v>
      </c>
      <c r="F10" s="29">
        <f t="shared" si="1"/>
        <v>0</v>
      </c>
      <c r="G10" s="2"/>
    </row>
    <row r="11" spans="1:7" s="4" customFormat="1" ht="15.75" customHeight="1">
      <c r="A11" s="25">
        <f>A60</f>
        <v>0</v>
      </c>
      <c r="B11" s="26"/>
      <c r="C11" s="27"/>
      <c r="D11" s="27"/>
      <c r="E11" s="28">
        <f>F63</f>
        <v>269.2219090909091</v>
      </c>
      <c r="F11" s="29">
        <f t="shared" si="1"/>
        <v>0.06254059359259088</v>
      </c>
      <c r="G11" s="2"/>
    </row>
    <row r="12" spans="1:7" s="24" customFormat="1" ht="15.75" customHeight="1">
      <c r="A12" s="30">
        <f aca="true" t="shared" si="2" ref="A12:A13">A67</f>
        <v>0</v>
      </c>
      <c r="B12" s="30"/>
      <c r="C12" s="30"/>
      <c r="D12" s="20"/>
      <c r="E12" s="21">
        <f>+F80</f>
        <v>108.33333333333333</v>
      </c>
      <c r="F12" s="22">
        <f t="shared" si="1"/>
        <v>0.02516597180151064</v>
      </c>
      <c r="G12" s="23"/>
    </row>
    <row r="13" spans="1:7" s="24" customFormat="1" ht="15.75" customHeight="1">
      <c r="A13" s="31">
        <f t="shared" si="2"/>
        <v>0</v>
      </c>
      <c r="B13" s="32"/>
      <c r="C13" s="32"/>
      <c r="D13" s="20"/>
      <c r="E13" s="33">
        <f>F78</f>
        <v>108.33333333333333</v>
      </c>
      <c r="F13" s="29">
        <f t="shared" si="1"/>
        <v>0.02516597180151064</v>
      </c>
      <c r="G13" s="23"/>
    </row>
    <row r="14" spans="1:7" s="24" customFormat="1" ht="15.75" customHeight="1">
      <c r="A14" s="30">
        <f>A82</f>
        <v>0</v>
      </c>
      <c r="B14" s="32"/>
      <c r="C14" s="32"/>
      <c r="D14" s="20"/>
      <c r="E14" s="34">
        <f>F85</f>
        <v>665</v>
      </c>
      <c r="F14" s="22">
        <f t="shared" si="1"/>
        <v>0.15448034998158072</v>
      </c>
      <c r="G14" s="23"/>
    </row>
    <row r="15" spans="1:7" s="24" customFormat="1" ht="15.75" customHeight="1">
      <c r="A15" s="30">
        <f>A87</f>
        <v>0</v>
      </c>
      <c r="B15" s="32"/>
      <c r="C15" s="32"/>
      <c r="D15" s="20"/>
      <c r="E15" s="34">
        <f>F117</f>
        <v>318.85484166666663</v>
      </c>
      <c r="F15" s="22">
        <f t="shared" si="1"/>
        <v>0.07407038726915513</v>
      </c>
      <c r="G15" s="23"/>
    </row>
    <row r="16" spans="1:7" s="24" customFormat="1" ht="15.75" customHeight="1">
      <c r="A16" s="30">
        <f>A121</f>
        <v>0</v>
      </c>
      <c r="B16" s="35"/>
      <c r="C16" s="20"/>
      <c r="D16" s="20"/>
      <c r="E16" s="36">
        <f>F125</f>
        <v>798.683093353582</v>
      </c>
      <c r="F16" s="22">
        <f t="shared" si="1"/>
        <v>0.18553510343704185</v>
      </c>
      <c r="G16" s="23"/>
    </row>
    <row r="17" spans="1:7" s="4" customFormat="1" ht="15.75" customHeight="1">
      <c r="A17" s="37" t="s">
        <v>7</v>
      </c>
      <c r="B17" s="38"/>
      <c r="C17" s="39"/>
      <c r="D17" s="39"/>
      <c r="E17" s="40">
        <f>E8+E12+E16+E14+E15</f>
        <v>4304.754618171764</v>
      </c>
      <c r="F17" s="41">
        <f>F8+F12+F16+F14+F15</f>
        <v>0.9999999999999999</v>
      </c>
      <c r="G17" s="2"/>
    </row>
    <row r="18" spans="1:7" s="4" customFormat="1" ht="15.75" customHeight="1">
      <c r="A18" s="42"/>
      <c r="B18" s="43"/>
      <c r="C18" s="23"/>
      <c r="D18" s="23"/>
      <c r="E18" s="44"/>
      <c r="F18" s="45"/>
      <c r="G18" s="2"/>
    </row>
    <row r="19" spans="1:7" s="4" customFormat="1" ht="15.75" customHeight="1">
      <c r="A19" s="46" t="s">
        <v>8</v>
      </c>
      <c r="B19" s="46"/>
      <c r="C19" s="23"/>
      <c r="D19" s="23"/>
      <c r="E19" s="44"/>
      <c r="F19" s="45"/>
      <c r="G19" s="2"/>
    </row>
    <row r="20" spans="1:7" s="4" customFormat="1" ht="15.75" customHeight="1">
      <c r="A20" s="46" t="s">
        <v>9</v>
      </c>
      <c r="C20" s="23"/>
      <c r="D20" s="23"/>
      <c r="E20" s="44"/>
      <c r="F20" s="45"/>
      <c r="G20" s="2"/>
    </row>
    <row r="21" spans="1:7" s="4" customFormat="1" ht="15.75" customHeight="1">
      <c r="A21" s="47"/>
      <c r="B21" s="46"/>
      <c r="C21" s="23"/>
      <c r="D21" s="23"/>
      <c r="E21" s="44"/>
      <c r="F21" s="45"/>
      <c r="G21" s="2"/>
    </row>
    <row r="22" spans="1:9" s="4" customFormat="1" ht="15.75" customHeight="1">
      <c r="A22" s="47" t="s">
        <v>10</v>
      </c>
      <c r="B22" s="47"/>
      <c r="C22" s="48">
        <v>1128.51</v>
      </c>
      <c r="D22" s="47"/>
      <c r="E22" s="47"/>
      <c r="G22" s="47"/>
      <c r="H22" s="49">
        <f>C22/220</f>
        <v>5.129590909090909</v>
      </c>
      <c r="I22" s="50"/>
    </row>
    <row r="23" ht="9.75" customHeight="1"/>
    <row r="24" spans="1:7" s="4" customFormat="1" ht="15" customHeight="1">
      <c r="A24" s="12" t="s">
        <v>11</v>
      </c>
      <c r="B24" s="12"/>
      <c r="C24" s="12"/>
      <c r="D24" s="12"/>
      <c r="E24" s="12"/>
      <c r="F24" s="2"/>
      <c r="G24" s="2"/>
    </row>
    <row r="25" spans="1:7" s="4" customFormat="1" ht="15" customHeight="1">
      <c r="A25" s="51" t="s">
        <v>12</v>
      </c>
      <c r="B25" s="51"/>
      <c r="C25" s="51"/>
      <c r="D25" s="51"/>
      <c r="E25" s="52" t="s">
        <v>13</v>
      </c>
      <c r="F25" s="2"/>
      <c r="G25" s="2"/>
    </row>
    <row r="26" spans="1:7" s="4" customFormat="1" ht="15" customHeight="1">
      <c r="A26" s="53" t="s">
        <v>14</v>
      </c>
      <c r="B26" s="14"/>
      <c r="C26" s="14"/>
      <c r="D26" s="54"/>
      <c r="E26" s="55">
        <v>1</v>
      </c>
      <c r="F26" s="2"/>
      <c r="G26" s="2"/>
    </row>
    <row r="27" spans="1:7" s="4" customFormat="1" ht="15" customHeight="1">
      <c r="A27" s="56" t="s">
        <v>15</v>
      </c>
      <c r="B27" s="57"/>
      <c r="C27" s="57"/>
      <c r="D27" s="58"/>
      <c r="E27" s="59">
        <v>1128.51</v>
      </c>
      <c r="F27" s="2"/>
      <c r="G27" s="2"/>
    </row>
    <row r="28" spans="1:7" s="4" customFormat="1" ht="15" customHeight="1">
      <c r="A28" s="56" t="s">
        <v>16</v>
      </c>
      <c r="B28" s="57"/>
      <c r="C28" s="57"/>
      <c r="D28" s="58"/>
      <c r="E28" s="60">
        <v>20</v>
      </c>
      <c r="F28" s="2"/>
      <c r="G28" s="2"/>
    </row>
    <row r="29" spans="1:6" s="4" customFormat="1" ht="15" customHeight="1">
      <c r="A29" s="56" t="s">
        <v>17</v>
      </c>
      <c r="B29" s="57"/>
      <c r="C29" s="57"/>
      <c r="D29" s="58"/>
      <c r="E29" s="60">
        <v>200</v>
      </c>
      <c r="F29" s="2"/>
    </row>
    <row r="30" spans="1:6" s="4" customFormat="1" ht="15" customHeight="1" hidden="1">
      <c r="A30" s="18">
        <f>+A50</f>
        <v>0</v>
      </c>
      <c r="B30" s="27"/>
      <c r="C30" s="27"/>
      <c r="D30" s="61"/>
      <c r="E30" s="62">
        <v>0</v>
      </c>
      <c r="F30" s="2"/>
    </row>
    <row r="31" spans="1:6" s="4" customFormat="1" ht="15" customHeight="1" hidden="1">
      <c r="A31" s="56" t="s">
        <v>18</v>
      </c>
      <c r="B31" s="27"/>
      <c r="C31" s="27"/>
      <c r="D31" s="61"/>
      <c r="E31" s="63">
        <f>1354.21*1.0456</f>
        <v>1415.961976</v>
      </c>
      <c r="F31" s="2"/>
    </row>
    <row r="32" spans="1:7" s="4" customFormat="1" ht="15" customHeight="1" hidden="1">
      <c r="A32" s="25" t="s">
        <v>19</v>
      </c>
      <c r="B32" s="27"/>
      <c r="C32" s="27"/>
      <c r="D32" s="61"/>
      <c r="E32" s="62">
        <v>200</v>
      </c>
      <c r="F32" s="2"/>
      <c r="G32" s="2"/>
    </row>
    <row r="33" spans="1:7" s="4" customFormat="1" ht="15" customHeight="1" hidden="1">
      <c r="A33" s="64" t="s">
        <v>20</v>
      </c>
      <c r="B33" s="65"/>
      <c r="C33" s="65"/>
      <c r="D33" s="66"/>
      <c r="E33" s="67">
        <f>E26+E30</f>
        <v>1</v>
      </c>
      <c r="F33" s="2"/>
      <c r="G33" s="2"/>
    </row>
    <row r="34" spans="1:7" s="4" customFormat="1" ht="13.5" customHeight="1">
      <c r="A34" s="2"/>
      <c r="B34" s="2"/>
      <c r="C34" s="2"/>
      <c r="D34" s="68"/>
      <c r="E34" s="69"/>
      <c r="F34" s="1"/>
      <c r="G34" s="2"/>
    </row>
    <row r="35" spans="1:7" s="24" customFormat="1" ht="15.75" customHeight="1">
      <c r="A35" s="70" t="s">
        <v>21</v>
      </c>
      <c r="B35" s="71">
        <f>Horários!F17</f>
        <v>0.9090909090909091</v>
      </c>
      <c r="C35" s="23"/>
      <c r="D35" s="72"/>
      <c r="E35" s="73"/>
      <c r="G35" s="23"/>
    </row>
    <row r="36" spans="1:7" s="4" customFormat="1" ht="15.75" customHeight="1">
      <c r="A36" s="2"/>
      <c r="B36" s="2"/>
      <c r="C36" s="2"/>
      <c r="D36" s="68"/>
      <c r="E36" s="69"/>
      <c r="F36" s="1"/>
      <c r="G36" s="2"/>
    </row>
    <row r="37" ht="12.75" customHeight="1">
      <c r="A37" s="24" t="s">
        <v>22</v>
      </c>
    </row>
    <row r="38" spans="1:6" ht="13.5" customHeight="1">
      <c r="A38" s="74" t="s">
        <v>23</v>
      </c>
      <c r="B38" s="74"/>
      <c r="C38" s="74"/>
      <c r="D38" s="74"/>
      <c r="E38" s="74"/>
      <c r="F38" s="74"/>
    </row>
    <row r="39" spans="1:6" ht="13.5" customHeight="1">
      <c r="A39" s="75" t="s">
        <v>24</v>
      </c>
      <c r="B39" s="76" t="s">
        <v>25</v>
      </c>
      <c r="C39" s="76" t="s">
        <v>13</v>
      </c>
      <c r="D39" s="77" t="s">
        <v>26</v>
      </c>
      <c r="E39" s="77" t="s">
        <v>27</v>
      </c>
      <c r="F39" s="78" t="s">
        <v>28</v>
      </c>
    </row>
    <row r="40" spans="1:5" ht="12.75" customHeight="1">
      <c r="A40" s="79" t="s">
        <v>15</v>
      </c>
      <c r="B40" s="80" t="s">
        <v>29</v>
      </c>
      <c r="C40" s="80">
        <v>1</v>
      </c>
      <c r="D40" s="81">
        <f>E27</f>
        <v>1128.51</v>
      </c>
      <c r="E40" s="82">
        <f>C40*D40</f>
        <v>1128.51</v>
      </c>
    </row>
    <row r="41" spans="1:8" ht="12.75" customHeight="1">
      <c r="A41" s="83" t="s">
        <v>16</v>
      </c>
      <c r="B41" s="84" t="s">
        <v>6</v>
      </c>
      <c r="C41" s="85">
        <f>E28</f>
        <v>20</v>
      </c>
      <c r="D41" s="86">
        <f>SUM(E40:E40)</f>
        <v>1128.51</v>
      </c>
      <c r="E41" s="86">
        <f>C41*D41/100</f>
        <v>225.702</v>
      </c>
      <c r="H41" s="79" t="s">
        <v>15</v>
      </c>
    </row>
    <row r="42" spans="1:8" ht="12.75" customHeight="1">
      <c r="A42" s="87" t="s">
        <v>30</v>
      </c>
      <c r="B42" s="88"/>
      <c r="C42" s="88"/>
      <c r="D42" s="89"/>
      <c r="E42" s="90">
        <f>SUM(E40:E41)</f>
        <v>1354.212</v>
      </c>
      <c r="H42" s="91" t="s">
        <v>30</v>
      </c>
    </row>
    <row r="43" spans="1:9" ht="12.75" customHeight="1">
      <c r="A43" s="83" t="s">
        <v>31</v>
      </c>
      <c r="B43" s="84" t="s">
        <v>6</v>
      </c>
      <c r="C43" s="92">
        <f>'2.Encargos Sociais'!$C$34*100</f>
        <v>72.54</v>
      </c>
      <c r="D43" s="86">
        <f>E40+E41</f>
        <v>1354.212</v>
      </c>
      <c r="E43" s="86">
        <f>D43*C43/100</f>
        <v>982.3453848</v>
      </c>
      <c r="H43" s="83" t="s">
        <v>31</v>
      </c>
      <c r="I43" s="93"/>
    </row>
    <row r="44" spans="1:8" ht="12.75" customHeight="1">
      <c r="A44" s="87" t="s">
        <v>32</v>
      </c>
      <c r="B44" s="88"/>
      <c r="C44" s="88"/>
      <c r="D44" s="89"/>
      <c r="E44" s="94">
        <f>E40+E41+E43</f>
        <v>2336.5573848</v>
      </c>
      <c r="H44" s="91" t="s">
        <v>33</v>
      </c>
    </row>
    <row r="45" spans="1:8" ht="13.5" customHeight="1">
      <c r="A45" s="83" t="s">
        <v>34</v>
      </c>
      <c r="B45" s="84" t="s">
        <v>35</v>
      </c>
      <c r="C45" s="85">
        <f>E26</f>
        <v>1</v>
      </c>
      <c r="D45" s="86">
        <f>E44</f>
        <v>2336.5573848</v>
      </c>
      <c r="E45" s="86">
        <f>C45*D45</f>
        <v>2336.5573848</v>
      </c>
      <c r="H45" s="83" t="s">
        <v>34</v>
      </c>
    </row>
    <row r="46" spans="1:6" ht="13.5" customHeight="1">
      <c r="A46" s="95" t="s">
        <v>36</v>
      </c>
      <c r="D46" s="96" t="s">
        <v>37</v>
      </c>
      <c r="E46" s="97">
        <f>$B$35</f>
        <v>0.9090909090909091</v>
      </c>
      <c r="F46" s="98">
        <f>(((E40+E43)*E46)+E41)*C45</f>
        <v>2144.6614407272727</v>
      </c>
    </row>
    <row r="47" spans="1:9" ht="13.5" customHeight="1">
      <c r="A47" s="99" t="s">
        <v>38</v>
      </c>
      <c r="B47" s="99"/>
      <c r="C47" s="99"/>
      <c r="D47" s="99"/>
      <c r="E47" s="100"/>
      <c r="F47" s="101"/>
      <c r="I47" s="93"/>
    </row>
    <row r="48" spans="1:4" ht="9" customHeight="1">
      <c r="A48" s="99"/>
      <c r="B48" s="99"/>
      <c r="C48" s="99"/>
      <c r="D48" s="99"/>
    </row>
    <row r="49" ht="11.25" customHeight="1"/>
    <row r="50" ht="13.5" customHeight="1" hidden="1">
      <c r="A50" s="1" t="s">
        <v>39</v>
      </c>
    </row>
    <row r="51" spans="1:7" s="95" customFormat="1" ht="12.75" customHeight="1" hidden="1">
      <c r="A51" s="75" t="s">
        <v>24</v>
      </c>
      <c r="B51" s="76" t="s">
        <v>25</v>
      </c>
      <c r="C51" s="76" t="s">
        <v>13</v>
      </c>
      <c r="D51" s="77" t="s">
        <v>26</v>
      </c>
      <c r="E51" s="77" t="s">
        <v>27</v>
      </c>
      <c r="F51" s="78" t="s">
        <v>28</v>
      </c>
      <c r="G51" s="2"/>
    </row>
    <row r="52" spans="1:5" ht="13.5" customHeight="1" hidden="1">
      <c r="A52" s="79" t="s">
        <v>15</v>
      </c>
      <c r="B52" s="80" t="s">
        <v>29</v>
      </c>
      <c r="C52" s="80">
        <v>0</v>
      </c>
      <c r="D52" s="102">
        <f>E31</f>
        <v>1415.961976</v>
      </c>
      <c r="E52" s="103">
        <f>C52*D52</f>
        <v>0</v>
      </c>
    </row>
    <row r="53" spans="1:7" s="24" customFormat="1" ht="12.75" customHeight="1" hidden="1">
      <c r="A53" s="83" t="s">
        <v>30</v>
      </c>
      <c r="B53" s="88"/>
      <c r="C53" s="88"/>
      <c r="D53" s="104"/>
      <c r="E53" s="105">
        <f>SUM(E52:E52)</f>
        <v>0</v>
      </c>
      <c r="F53" s="23"/>
      <c r="G53" s="23"/>
    </row>
    <row r="54" spans="1:5" ht="12.75" customHeight="1" hidden="1">
      <c r="A54" s="83" t="s">
        <v>31</v>
      </c>
      <c r="B54" s="84" t="s">
        <v>6</v>
      </c>
      <c r="C54" s="92">
        <f>'2.Encargos Sociais'!$C$34*100</f>
        <v>72.54</v>
      </c>
      <c r="D54" s="105">
        <f>E53</f>
        <v>0</v>
      </c>
      <c r="E54" s="105">
        <f>D54*C54/100</f>
        <v>0</v>
      </c>
    </row>
    <row r="55" spans="1:7" s="24" customFormat="1" ht="12.75" customHeight="1" hidden="1">
      <c r="A55" s="83" t="s">
        <v>33</v>
      </c>
      <c r="B55" s="106"/>
      <c r="C55" s="106"/>
      <c r="D55" s="107"/>
      <c r="E55" s="105">
        <f>E53+E54</f>
        <v>0</v>
      </c>
      <c r="F55" s="23"/>
      <c r="G55" s="23"/>
    </row>
    <row r="56" spans="1:5" ht="13.5" customHeight="1" hidden="1">
      <c r="A56" s="83" t="s">
        <v>34</v>
      </c>
      <c r="B56" s="84" t="s">
        <v>35</v>
      </c>
      <c r="C56" s="85">
        <f>E30</f>
        <v>0</v>
      </c>
      <c r="D56" s="105">
        <f>E55</f>
        <v>0</v>
      </c>
      <c r="E56" s="105">
        <f>C56*D56</f>
        <v>0</v>
      </c>
    </row>
    <row r="57" spans="1:6" ht="14.25" customHeight="1" hidden="1">
      <c r="A57" s="108" t="s">
        <v>40</v>
      </c>
      <c r="B57" s="108"/>
      <c r="C57" s="108"/>
      <c r="D57" s="96" t="s">
        <v>37</v>
      </c>
      <c r="E57" s="97">
        <f>$B$35</f>
        <v>0.9090909090909091</v>
      </c>
      <c r="F57" s="109">
        <f>E56*E57</f>
        <v>0</v>
      </c>
    </row>
    <row r="58" spans="1:6" ht="12.75" customHeight="1" hidden="1">
      <c r="A58" s="110" t="s">
        <v>41</v>
      </c>
      <c r="B58" s="110"/>
      <c r="C58" s="110"/>
      <c r="D58" s="110"/>
      <c r="E58" s="100"/>
      <c r="F58" s="101"/>
    </row>
    <row r="59" spans="1:11" ht="12.75" customHeight="1" hidden="1">
      <c r="A59" s="110"/>
      <c r="B59" s="110"/>
      <c r="C59" s="110"/>
      <c r="D59" s="110"/>
      <c r="E59" s="100"/>
      <c r="F59" s="111"/>
      <c r="I59" s="112"/>
      <c r="K59" s="112"/>
    </row>
    <row r="60" spans="1:9" ht="13.5" customHeight="1">
      <c r="A60" s="1" t="s">
        <v>42</v>
      </c>
      <c r="F60" s="23"/>
      <c r="I60" s="112"/>
    </row>
    <row r="61" spans="1:11" ht="14.25" customHeight="1">
      <c r="A61" s="75" t="s">
        <v>24</v>
      </c>
      <c r="B61" s="76" t="s">
        <v>25</v>
      </c>
      <c r="C61" s="76" t="s">
        <v>13</v>
      </c>
      <c r="D61" s="77" t="s">
        <v>26</v>
      </c>
      <c r="E61" s="77" t="s">
        <v>27</v>
      </c>
      <c r="F61" s="78" t="s">
        <v>28</v>
      </c>
      <c r="K61" s="113"/>
    </row>
    <row r="62" spans="1:9" ht="14.25" customHeight="1">
      <c r="A62" s="83" t="s">
        <v>43</v>
      </c>
      <c r="B62" s="84" t="s">
        <v>44</v>
      </c>
      <c r="C62" s="114">
        <f>E33</f>
        <v>1</v>
      </c>
      <c r="D62" s="115">
        <v>17.41</v>
      </c>
      <c r="E62" s="116">
        <f>(D62*C62*21)*0.81</f>
        <v>296.14410000000004</v>
      </c>
      <c r="F62" s="23"/>
      <c r="I62" s="112"/>
    </row>
    <row r="63" spans="1:6" s="1" customFormat="1" ht="14.25" customHeight="1">
      <c r="A63" s="117" t="s">
        <v>45</v>
      </c>
      <c r="B63" s="117"/>
      <c r="D63" s="96" t="s">
        <v>37</v>
      </c>
      <c r="E63" s="118">
        <f>E46</f>
        <v>0.9090909090909091</v>
      </c>
      <c r="F63" s="119">
        <f>SUM(E62:E62)*E63</f>
        <v>269.2219090909091</v>
      </c>
    </row>
    <row r="64" spans="1:7" ht="14.25" customHeight="1">
      <c r="A64" s="120"/>
      <c r="B64" s="120"/>
      <c r="D64" s="96"/>
      <c r="F64" s="121"/>
      <c r="G64" s="1"/>
    </row>
    <row r="65" spans="1:8" s="1" customFormat="1" ht="14.25" customHeight="1">
      <c r="A65" s="122" t="s">
        <v>46</v>
      </c>
      <c r="B65" s="123"/>
      <c r="C65" s="123"/>
      <c r="D65" s="124"/>
      <c r="E65" s="125"/>
      <c r="F65" s="126">
        <f>F63+F46</f>
        <v>2413.883349818182</v>
      </c>
      <c r="H65" s="127"/>
    </row>
    <row r="66" ht="15" customHeight="1"/>
    <row r="67" spans="1:7" ht="12.75" customHeight="1">
      <c r="A67" s="24" t="s">
        <v>47</v>
      </c>
      <c r="G67" s="1"/>
    </row>
    <row r="68" spans="1:7" ht="13.5" customHeight="1">
      <c r="A68" s="1" t="s">
        <v>48</v>
      </c>
      <c r="G68" s="1"/>
    </row>
    <row r="69" spans="1:6" s="1" customFormat="1" ht="27.75" customHeight="1">
      <c r="A69" s="75" t="s">
        <v>24</v>
      </c>
      <c r="B69" s="76" t="s">
        <v>25</v>
      </c>
      <c r="C69" s="128" t="s">
        <v>49</v>
      </c>
      <c r="D69" s="77" t="s">
        <v>26</v>
      </c>
      <c r="E69" s="77" t="s">
        <v>27</v>
      </c>
      <c r="F69" s="78" t="s">
        <v>28</v>
      </c>
    </row>
    <row r="70" spans="1:7" ht="12.75" customHeight="1">
      <c r="A70" s="83" t="s">
        <v>50</v>
      </c>
      <c r="B70" s="84" t="s">
        <v>44</v>
      </c>
      <c r="C70" s="129">
        <v>6</v>
      </c>
      <c r="D70" s="130">
        <v>55</v>
      </c>
      <c r="E70" s="103">
        <f aca="true" t="shared" si="3" ref="E70:E76">_xlfn.IFERROR(D70/C70,0)</f>
        <v>9.166666666666666</v>
      </c>
      <c r="G70" s="1"/>
    </row>
    <row r="71" spans="1:7" ht="12.75" customHeight="1">
      <c r="A71" s="83" t="s">
        <v>51</v>
      </c>
      <c r="B71" s="84" t="s">
        <v>44</v>
      </c>
      <c r="C71" s="129">
        <v>3</v>
      </c>
      <c r="D71" s="130">
        <v>40</v>
      </c>
      <c r="E71" s="103">
        <f t="shared" si="3"/>
        <v>13.333333333333334</v>
      </c>
      <c r="G71" s="1"/>
    </row>
    <row r="72" spans="1:7" ht="12.75" customHeight="1">
      <c r="A72" s="83" t="s">
        <v>52</v>
      </c>
      <c r="B72" s="84" t="s">
        <v>44</v>
      </c>
      <c r="C72" s="129">
        <v>3</v>
      </c>
      <c r="D72" s="130">
        <v>40</v>
      </c>
      <c r="E72" s="103">
        <f t="shared" si="3"/>
        <v>13.333333333333334</v>
      </c>
      <c r="G72" s="1"/>
    </row>
    <row r="73" spans="1:7" ht="13.5" customHeight="1">
      <c r="A73" s="83" t="s">
        <v>53</v>
      </c>
      <c r="B73" s="84" t="s">
        <v>54</v>
      </c>
      <c r="C73" s="129">
        <v>6</v>
      </c>
      <c r="D73" s="130">
        <v>50</v>
      </c>
      <c r="E73" s="103">
        <f t="shared" si="3"/>
        <v>8.333333333333334</v>
      </c>
      <c r="G73" s="1"/>
    </row>
    <row r="74" spans="1:7" ht="12.75" customHeight="1">
      <c r="A74" s="83" t="s">
        <v>55</v>
      </c>
      <c r="B74" s="84" t="s">
        <v>54</v>
      </c>
      <c r="C74" s="129">
        <v>0.05</v>
      </c>
      <c r="D74" s="130">
        <v>1</v>
      </c>
      <c r="E74" s="103">
        <f t="shared" si="3"/>
        <v>20</v>
      </c>
      <c r="F74" s="131"/>
      <c r="G74" s="131"/>
    </row>
    <row r="75" spans="1:7" ht="12.75" customHeight="1">
      <c r="A75" s="83" t="s">
        <v>56</v>
      </c>
      <c r="B75" s="84" t="s">
        <v>44</v>
      </c>
      <c r="C75" s="129">
        <v>12</v>
      </c>
      <c r="D75" s="130">
        <v>60</v>
      </c>
      <c r="E75" s="103">
        <f t="shared" si="3"/>
        <v>5</v>
      </c>
      <c r="F75" s="132"/>
      <c r="G75" s="132"/>
    </row>
    <row r="76" spans="1:5" ht="12.75" customHeight="1">
      <c r="A76" s="83" t="s">
        <v>57</v>
      </c>
      <c r="B76" s="84" t="s">
        <v>58</v>
      </c>
      <c r="C76" s="129">
        <v>1</v>
      </c>
      <c r="D76" s="130">
        <v>50</v>
      </c>
      <c r="E76" s="103">
        <f t="shared" si="3"/>
        <v>50</v>
      </c>
    </row>
    <row r="77" spans="1:5" ht="13.5" customHeight="1">
      <c r="A77" s="133" t="s">
        <v>59</v>
      </c>
      <c r="B77" s="133"/>
      <c r="C77" s="134">
        <v>1</v>
      </c>
      <c r="D77" s="105">
        <f>+SUM(E70:E76)</f>
        <v>119.16666666666667</v>
      </c>
      <c r="E77" s="105">
        <f>C77*D77</f>
        <v>119.16666666666667</v>
      </c>
    </row>
    <row r="78" spans="4:6" ht="14.25" customHeight="1">
      <c r="D78" s="96" t="s">
        <v>37</v>
      </c>
      <c r="E78" s="97">
        <f>$B$35</f>
        <v>0.9090909090909091</v>
      </c>
      <c r="F78" s="109">
        <f>E77*E78</f>
        <v>108.33333333333333</v>
      </c>
    </row>
    <row r="79" ht="11.25" customHeight="1">
      <c r="G79" s="1"/>
    </row>
    <row r="80" spans="1:6" s="1" customFormat="1" ht="14.25" customHeight="1">
      <c r="A80" s="122" t="s">
        <v>60</v>
      </c>
      <c r="B80" s="135"/>
      <c r="C80" s="135"/>
      <c r="D80" s="136"/>
      <c r="E80" s="137"/>
      <c r="F80" s="138">
        <f>+F78</f>
        <v>108.33333333333333</v>
      </c>
    </row>
    <row r="81" ht="11.25" customHeight="1">
      <c r="G81" s="1"/>
    </row>
    <row r="82" spans="1:7" ht="13.5" customHeight="1">
      <c r="A82" s="24" t="s">
        <v>61</v>
      </c>
      <c r="B82" s="120"/>
      <c r="D82" s="96"/>
      <c r="F82" s="121"/>
      <c r="G82" s="1"/>
    </row>
    <row r="83" spans="1:6" s="1" customFormat="1" ht="13.5" customHeight="1">
      <c r="A83" s="139" t="s">
        <v>24</v>
      </c>
      <c r="B83" s="139" t="s">
        <v>25</v>
      </c>
      <c r="C83" s="139" t="s">
        <v>13</v>
      </c>
      <c r="D83" s="139" t="s">
        <v>26</v>
      </c>
      <c r="E83" s="139" t="s">
        <v>27</v>
      </c>
      <c r="F83" s="139" t="s">
        <v>62</v>
      </c>
    </row>
    <row r="84" spans="1:6" s="1" customFormat="1" ht="12.75" customHeight="1">
      <c r="A84" s="83" t="s">
        <v>63</v>
      </c>
      <c r="B84" s="140" t="s">
        <v>64</v>
      </c>
      <c r="C84" s="141">
        <v>350</v>
      </c>
      <c r="D84" s="115">
        <v>1.9</v>
      </c>
      <c r="E84" s="116">
        <f>C84*D84</f>
        <v>665</v>
      </c>
      <c r="F84" s="142"/>
    </row>
    <row r="85" spans="1:6" s="1" customFormat="1" ht="11.25" customHeight="1">
      <c r="A85" s="120"/>
      <c r="B85" s="120"/>
      <c r="D85" s="96" t="s">
        <v>37</v>
      </c>
      <c r="E85" s="97">
        <v>1</v>
      </c>
      <c r="F85" s="142">
        <f>E84</f>
        <v>665</v>
      </c>
    </row>
    <row r="86" spans="1:6" s="1" customFormat="1" ht="11.25" customHeight="1">
      <c r="A86" s="120"/>
      <c r="B86" s="120"/>
      <c r="D86" s="96"/>
      <c r="E86" s="100"/>
      <c r="F86" s="121"/>
    </row>
    <row r="87" spans="1:6" s="1" customFormat="1" ht="11.25" customHeight="1">
      <c r="A87" s="143" t="s">
        <v>65</v>
      </c>
      <c r="B87" s="144"/>
      <c r="C87" s="144"/>
      <c r="D87" s="145"/>
      <c r="E87" s="145"/>
      <c r="F87" s="145"/>
    </row>
    <row r="88" spans="1:6" s="1" customFormat="1" ht="11.25" customHeight="1">
      <c r="A88" s="146" t="s">
        <v>66</v>
      </c>
      <c r="B88" s="144"/>
      <c r="C88" s="144"/>
      <c r="D88" s="145"/>
      <c r="E88" s="145"/>
      <c r="F88" s="145"/>
    </row>
    <row r="89" spans="1:6" s="1" customFormat="1" ht="11.25" customHeight="1">
      <c r="A89" s="147" t="s">
        <v>24</v>
      </c>
      <c r="B89" s="148" t="s">
        <v>25</v>
      </c>
      <c r="C89" s="148" t="s">
        <v>13</v>
      </c>
      <c r="D89" s="149" t="s">
        <v>26</v>
      </c>
      <c r="E89" s="149" t="s">
        <v>27</v>
      </c>
      <c r="F89" s="150" t="s">
        <v>28</v>
      </c>
    </row>
    <row r="90" spans="1:6" s="1" customFormat="1" ht="11.25" customHeight="1">
      <c r="A90" s="151" t="s">
        <v>67</v>
      </c>
      <c r="B90" s="152" t="s">
        <v>44</v>
      </c>
      <c r="C90" s="153">
        <v>1</v>
      </c>
      <c r="D90" s="154">
        <v>745</v>
      </c>
      <c r="E90" s="155">
        <f>C90*D90</f>
        <v>745</v>
      </c>
      <c r="F90" s="145"/>
    </row>
    <row r="91" spans="1:6" s="1" customFormat="1" ht="11.25" customHeight="1">
      <c r="A91" s="156" t="s">
        <v>68</v>
      </c>
      <c r="B91" s="157" t="s">
        <v>69</v>
      </c>
      <c r="C91" s="158">
        <v>2</v>
      </c>
      <c r="D91" s="159"/>
      <c r="E91" s="160"/>
      <c r="F91" s="145"/>
    </row>
    <row r="92" spans="1:6" s="1" customFormat="1" ht="11.25" customHeight="1">
      <c r="A92" s="156" t="s">
        <v>70</v>
      </c>
      <c r="B92" s="157"/>
      <c r="C92" s="158">
        <v>1</v>
      </c>
      <c r="D92" s="160"/>
      <c r="E92" s="160"/>
      <c r="F92" s="161"/>
    </row>
    <row r="93" spans="1:6" s="1" customFormat="1" ht="11.25" customHeight="1">
      <c r="A93" s="156" t="s">
        <v>71</v>
      </c>
      <c r="B93" s="157" t="s">
        <v>6</v>
      </c>
      <c r="C93" s="162">
        <f>'5. Depreciação'!B4</f>
        <v>43.13</v>
      </c>
      <c r="D93" s="160">
        <f>E90</f>
        <v>745</v>
      </c>
      <c r="E93" s="160">
        <f>C93*D93/100</f>
        <v>321.31850000000003</v>
      </c>
      <c r="F93" s="145"/>
    </row>
    <row r="94" spans="1:6" s="1" customFormat="1" ht="11.25" customHeight="1">
      <c r="A94" s="163" t="s">
        <v>72</v>
      </c>
      <c r="B94" s="164" t="s">
        <v>29</v>
      </c>
      <c r="C94" s="165">
        <f>C91*12</f>
        <v>24</v>
      </c>
      <c r="D94" s="166">
        <f>IF(C92&lt;=C91,E93,0)</f>
        <v>321.31850000000003</v>
      </c>
      <c r="E94" s="167">
        <f>_xlfn.IFERROR(D94/C94,0)</f>
        <v>13.388270833333335</v>
      </c>
      <c r="F94" s="145"/>
    </row>
    <row r="95" spans="1:6" s="1" customFormat="1" ht="11.25" customHeight="1">
      <c r="A95" s="156"/>
      <c r="B95" s="157"/>
      <c r="C95" s="168"/>
      <c r="D95" s="160"/>
      <c r="E95" s="160"/>
      <c r="F95" s="145"/>
    </row>
    <row r="96" spans="1:6" s="1" customFormat="1" ht="11.25" customHeight="1">
      <c r="A96" s="151" t="s">
        <v>73</v>
      </c>
      <c r="B96" s="152" t="s">
        <v>44</v>
      </c>
      <c r="C96" s="153">
        <v>1</v>
      </c>
      <c r="D96" s="154">
        <v>1329</v>
      </c>
      <c r="E96" s="155">
        <f>C96*D96</f>
        <v>1329</v>
      </c>
      <c r="F96" s="145"/>
    </row>
    <row r="97" spans="1:6" s="1" customFormat="1" ht="11.25" customHeight="1">
      <c r="A97" s="156" t="s">
        <v>68</v>
      </c>
      <c r="B97" s="157" t="s">
        <v>69</v>
      </c>
      <c r="C97" s="158">
        <v>2</v>
      </c>
      <c r="D97" s="159"/>
      <c r="E97" s="160"/>
      <c r="F97" s="145"/>
    </row>
    <row r="98" spans="1:6" s="1" customFormat="1" ht="11.25" customHeight="1">
      <c r="A98" s="156" t="s">
        <v>70</v>
      </c>
      <c r="B98" s="157"/>
      <c r="C98" s="158">
        <v>1</v>
      </c>
      <c r="D98" s="160"/>
      <c r="E98" s="160"/>
      <c r="F98" s="145"/>
    </row>
    <row r="99" spans="1:6" s="1" customFormat="1" ht="11.25" customHeight="1">
      <c r="A99" s="156" t="s">
        <v>71</v>
      </c>
      <c r="B99" s="157" t="s">
        <v>6</v>
      </c>
      <c r="C99" s="162">
        <f>'5. Depreciação'!B4</f>
        <v>43.13</v>
      </c>
      <c r="D99" s="160">
        <f>E96</f>
        <v>1329</v>
      </c>
      <c r="E99" s="160">
        <f>C99*D99/100</f>
        <v>573.1977</v>
      </c>
      <c r="F99" s="145"/>
    </row>
    <row r="100" spans="1:6" s="1" customFormat="1" ht="11.25" customHeight="1">
      <c r="A100" s="156" t="s">
        <v>72</v>
      </c>
      <c r="B100" s="157" t="s">
        <v>29</v>
      </c>
      <c r="C100" s="168">
        <f>C97*12</f>
        <v>24</v>
      </c>
      <c r="D100" s="160">
        <f>IF(C98&lt;=C97,E99,0)</f>
        <v>573.1977</v>
      </c>
      <c r="E100" s="169">
        <f>_xlfn.IFERROR(D100/C100,0)</f>
        <v>23.883237500000003</v>
      </c>
      <c r="F100" s="145"/>
    </row>
    <row r="101" spans="1:6" s="1" customFormat="1" ht="11.25" customHeight="1">
      <c r="A101" s="156"/>
      <c r="B101" s="157"/>
      <c r="C101" s="168"/>
      <c r="D101" s="160"/>
      <c r="E101" s="160"/>
      <c r="F101" s="145"/>
    </row>
    <row r="102" spans="1:6" s="1" customFormat="1" ht="11.25" customHeight="1">
      <c r="A102" s="170" t="s">
        <v>74</v>
      </c>
      <c r="B102" s="152" t="s">
        <v>44</v>
      </c>
      <c r="C102" s="171">
        <v>1</v>
      </c>
      <c r="D102" s="154">
        <v>180</v>
      </c>
      <c r="E102" s="155">
        <f>C102*D102</f>
        <v>180</v>
      </c>
      <c r="F102" s="145"/>
    </row>
    <row r="103" spans="1:6" s="1" customFormat="1" ht="11.25" customHeight="1">
      <c r="A103" s="156" t="s">
        <v>68</v>
      </c>
      <c r="B103" s="157" t="s">
        <v>75</v>
      </c>
      <c r="C103" s="158">
        <v>1</v>
      </c>
      <c r="D103" s="160"/>
      <c r="E103" s="160"/>
      <c r="F103" s="145"/>
    </row>
    <row r="104" spans="1:6" s="1" customFormat="1" ht="11.25" customHeight="1">
      <c r="A104" s="156" t="s">
        <v>72</v>
      </c>
      <c r="B104" s="157" t="s">
        <v>29</v>
      </c>
      <c r="C104" s="168">
        <v>12</v>
      </c>
      <c r="D104" s="160"/>
      <c r="E104" s="169">
        <f>(E102)*(1/C104)</f>
        <v>15</v>
      </c>
      <c r="F104" s="145"/>
    </row>
    <row r="105" spans="1:6" s="1" customFormat="1" ht="11.25" customHeight="1">
      <c r="A105" s="156"/>
      <c r="B105" s="157"/>
      <c r="C105" s="168"/>
      <c r="D105" s="160"/>
      <c r="E105" s="166"/>
      <c r="F105" s="145"/>
    </row>
    <row r="106" spans="1:6" s="1" customFormat="1" ht="11.25" customHeight="1">
      <c r="A106" s="170" t="s">
        <v>76</v>
      </c>
      <c r="B106" s="152" t="s">
        <v>44</v>
      </c>
      <c r="C106" s="171">
        <v>1</v>
      </c>
      <c r="D106" s="154">
        <v>499</v>
      </c>
      <c r="E106" s="160">
        <f>C106*D106</f>
        <v>499</v>
      </c>
      <c r="F106" s="145"/>
    </row>
    <row r="107" spans="1:6" s="1" customFormat="1" ht="11.25" customHeight="1">
      <c r="A107" s="156" t="s">
        <v>68</v>
      </c>
      <c r="B107" s="157" t="s">
        <v>75</v>
      </c>
      <c r="C107" s="158">
        <v>1</v>
      </c>
      <c r="D107" s="160"/>
      <c r="E107" s="160"/>
      <c r="F107" s="145"/>
    </row>
    <row r="108" spans="1:6" s="1" customFormat="1" ht="11.25" customHeight="1">
      <c r="A108" s="156" t="s">
        <v>72</v>
      </c>
      <c r="B108" s="157" t="s">
        <v>29</v>
      </c>
      <c r="C108" s="168">
        <v>12</v>
      </c>
      <c r="D108" s="160"/>
      <c r="E108" s="169">
        <f>(E106)*(1/C108)</f>
        <v>41.58333333333333</v>
      </c>
      <c r="F108" s="145"/>
    </row>
    <row r="109" spans="1:6" s="1" customFormat="1" ht="11.25" customHeight="1">
      <c r="A109" s="156"/>
      <c r="B109" s="157"/>
      <c r="C109" s="168"/>
      <c r="D109" s="160"/>
      <c r="E109" s="166"/>
      <c r="F109" s="145"/>
    </row>
    <row r="110" spans="1:6" s="1" customFormat="1" ht="11.25" customHeight="1">
      <c r="A110" s="170" t="s">
        <v>77</v>
      </c>
      <c r="B110" s="152" t="s">
        <v>78</v>
      </c>
      <c r="C110" s="171">
        <v>1</v>
      </c>
      <c r="D110" s="154">
        <v>1500</v>
      </c>
      <c r="E110" s="160">
        <f>C110*D110</f>
        <v>1500</v>
      </c>
      <c r="F110" s="145"/>
    </row>
    <row r="111" spans="1:6" s="1" customFormat="1" ht="11.25" customHeight="1">
      <c r="A111" s="156" t="s">
        <v>68</v>
      </c>
      <c r="B111" s="157" t="s">
        <v>79</v>
      </c>
      <c r="C111" s="158">
        <v>12</v>
      </c>
      <c r="D111" s="160"/>
      <c r="E111" s="160"/>
      <c r="F111" s="145"/>
    </row>
    <row r="112" spans="1:6" s="1" customFormat="1" ht="11.25" customHeight="1">
      <c r="A112" s="163" t="s">
        <v>80</v>
      </c>
      <c r="B112" s="164" t="s">
        <v>29</v>
      </c>
      <c r="C112" s="165">
        <v>12</v>
      </c>
      <c r="D112" s="166"/>
      <c r="E112" s="167">
        <f>E110/C112</f>
        <v>125</v>
      </c>
      <c r="F112" s="145"/>
    </row>
    <row r="113" spans="1:6" s="1" customFormat="1" ht="11.25" customHeight="1">
      <c r="A113" s="172"/>
      <c r="B113" s="157"/>
      <c r="C113" s="168"/>
      <c r="D113" s="160"/>
      <c r="E113" s="160"/>
      <c r="F113" s="145"/>
    </row>
    <row r="114" spans="1:6" s="1" customFormat="1" ht="11.25" customHeight="1">
      <c r="A114" s="172" t="s">
        <v>81</v>
      </c>
      <c r="B114" s="157" t="s">
        <v>82</v>
      </c>
      <c r="C114" s="173">
        <v>1</v>
      </c>
      <c r="D114" s="174">
        <v>100</v>
      </c>
      <c r="E114" s="169">
        <f>C114*D114</f>
        <v>100</v>
      </c>
      <c r="F114" s="145"/>
    </row>
    <row r="115" spans="1:6" s="1" customFormat="1" ht="11.25" customHeight="1">
      <c r="A115" s="156"/>
      <c r="B115" s="157"/>
      <c r="C115" s="158"/>
      <c r="D115" s="160"/>
      <c r="E115" s="160"/>
      <c r="F115" s="145"/>
    </row>
    <row r="116" spans="1:6" s="1" customFormat="1" ht="11.25" customHeight="1">
      <c r="A116" s="175" t="s">
        <v>83</v>
      </c>
      <c r="B116" s="176" t="s">
        <v>44</v>
      </c>
      <c r="C116" s="177"/>
      <c r="D116" s="160"/>
      <c r="E116" s="167">
        <f>E94+E100+E104+E108+E112+E114</f>
        <v>318.85484166666663</v>
      </c>
      <c r="F116" s="145"/>
    </row>
    <row r="117" spans="1:6" s="1" customFormat="1" ht="11.25" customHeight="1">
      <c r="A117" s="178"/>
      <c r="B117" s="178"/>
      <c r="C117" s="178"/>
      <c r="D117" s="179" t="s">
        <v>37</v>
      </c>
      <c r="E117" s="180">
        <v>1</v>
      </c>
      <c r="F117" s="181">
        <f>E116*E117</f>
        <v>318.85484166666663</v>
      </c>
    </row>
    <row r="118" spans="1:6" s="1" customFormat="1" ht="11.25" customHeight="1">
      <c r="A118" s="120"/>
      <c r="B118" s="120"/>
      <c r="D118" s="96"/>
      <c r="E118" s="100"/>
      <c r="F118" s="121"/>
    </row>
    <row r="119" spans="1:6" s="1" customFormat="1" ht="15.75" customHeight="1">
      <c r="A119" s="182" t="s">
        <v>84</v>
      </c>
      <c r="B119" s="183"/>
      <c r="C119" s="183"/>
      <c r="D119" s="184"/>
      <c r="E119" s="185"/>
      <c r="F119" s="186">
        <f>F65+F80+F85+F117</f>
        <v>3506.0715248181823</v>
      </c>
    </row>
    <row r="120" ht="11.25" customHeight="1">
      <c r="G120" s="1"/>
    </row>
    <row r="121" spans="1:6" ht="13.5" customHeight="1">
      <c r="A121" s="72" t="s">
        <v>85</v>
      </c>
      <c r="B121" s="72"/>
      <c r="C121" s="72"/>
      <c r="D121" s="23"/>
      <c r="E121" s="23"/>
      <c r="F121" s="111"/>
    </row>
    <row r="122" spans="1:6" ht="12.75" customHeight="1">
      <c r="A122" s="139" t="s">
        <v>24</v>
      </c>
      <c r="B122" s="187" t="s">
        <v>25</v>
      </c>
      <c r="C122" s="187" t="s">
        <v>13</v>
      </c>
      <c r="D122" s="188" t="s">
        <v>26</v>
      </c>
      <c r="E122" s="188" t="s">
        <v>27</v>
      </c>
      <c r="F122" s="189" t="s">
        <v>28</v>
      </c>
    </row>
    <row r="123" spans="1:6" ht="12.75" customHeight="1">
      <c r="A123" s="190" t="s">
        <v>86</v>
      </c>
      <c r="B123" s="191" t="s">
        <v>6</v>
      </c>
      <c r="C123" s="192">
        <f>'4.BDI'!C18</f>
        <v>0.2278</v>
      </c>
      <c r="D123" s="193">
        <f>F119</f>
        <v>3506.0715248181823</v>
      </c>
      <c r="E123" s="193">
        <f>D123*C123</f>
        <v>798.683093353582</v>
      </c>
      <c r="F123" s="194"/>
    </row>
    <row r="124" spans="1:6" ht="13.5" customHeight="1">
      <c r="A124" s="195"/>
      <c r="B124" s="195"/>
      <c r="C124" s="195"/>
      <c r="D124" s="195"/>
      <c r="E124" s="195"/>
      <c r="F124" s="196"/>
    </row>
    <row r="125" spans="1:6" ht="14.25" customHeight="1">
      <c r="A125" s="197" t="s">
        <v>87</v>
      </c>
      <c r="B125" s="197"/>
      <c r="C125" s="197"/>
      <c r="D125" s="197"/>
      <c r="E125" s="197"/>
      <c r="F125" s="138">
        <f>E123</f>
        <v>798.683093353582</v>
      </c>
    </row>
    <row r="126" ht="11.25" customHeight="1"/>
    <row r="127" spans="1:6" ht="24.75" customHeight="1">
      <c r="A127" s="198" t="s">
        <v>88</v>
      </c>
      <c r="B127" s="199"/>
      <c r="C127" s="199"/>
      <c r="D127" s="200"/>
      <c r="E127" s="201"/>
      <c r="F127" s="119">
        <f>F65+F80+F125+F85+F117</f>
        <v>4304.754618171764</v>
      </c>
    </row>
    <row r="128" spans="1:6" ht="13.5" customHeight="1">
      <c r="A128" s="72"/>
      <c r="B128" s="68"/>
      <c r="C128" s="68"/>
      <c r="F128" s="202"/>
    </row>
    <row r="129" spans="1:6" ht="13.5" customHeight="1">
      <c r="A129" s="198" t="s">
        <v>89</v>
      </c>
      <c r="B129" s="199"/>
      <c r="C129" s="199"/>
      <c r="D129" s="200"/>
      <c r="E129" s="201"/>
      <c r="F129" s="119">
        <f>F127/C77</f>
        <v>4304.754618171764</v>
      </c>
    </row>
    <row r="130" spans="1:7" ht="12" customHeight="1">
      <c r="A130" s="203"/>
      <c r="B130" s="203"/>
      <c r="C130" s="203"/>
      <c r="D130" s="204"/>
      <c r="E130" s="204"/>
      <c r="F130" s="204"/>
      <c r="G130" s="205"/>
    </row>
    <row r="131" ht="12.75" customHeight="1">
      <c r="A131" s="24" t="s">
        <v>90</v>
      </c>
    </row>
  </sheetData>
  <sheetProtection selectLockedCells="1" selectUnlockedCells="1"/>
  <mergeCells count="14">
    <mergeCell ref="A1:F1"/>
    <mergeCell ref="A2:F3"/>
    <mergeCell ref="A4:F4"/>
    <mergeCell ref="A6:F6"/>
    <mergeCell ref="A12:C12"/>
    <mergeCell ref="A24:E24"/>
    <mergeCell ref="A25:D25"/>
    <mergeCell ref="A38:F38"/>
    <mergeCell ref="A47:D48"/>
    <mergeCell ref="A57:C57"/>
    <mergeCell ref="A58:D59"/>
    <mergeCell ref="F74:G74"/>
    <mergeCell ref="A77:B77"/>
    <mergeCell ref="A125:E125"/>
  </mergeCells>
  <hyperlinks>
    <hyperlink ref="A88" location="AbaDeprec" display="4.1. Depreciação/manutenção "/>
  </hyperlinks>
  <printOptions horizontalCentered="1"/>
  <pageMargins left="0.5118055555555555" right="0.5118055555555555" top="0.15625" bottom="0.3534722222222222" header="0.5118055555555555" footer="0.3138888888888889"/>
  <pageSetup horizontalDpi="300" verticalDpi="300" orientation="portrait" paperSize="9" scale="77"/>
  <headerFooter alignWithMargins="0">
    <oddFooter>&amp;R&amp;P de &amp;N</oddFoot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6">
      <selection activeCell="C34" sqref="C34"/>
    </sheetView>
  </sheetViews>
  <sheetFormatPr defaultColWidth="8.00390625" defaultRowHeight="12.75"/>
  <cols>
    <col min="1" max="1" width="13.57421875" style="206" customWidth="1"/>
    <col min="2" max="2" width="42.7109375" style="206" customWidth="1"/>
    <col min="3" max="3" width="14.57421875" style="206" customWidth="1"/>
    <col min="4" max="9" width="9.140625" style="206" customWidth="1"/>
    <col min="10" max="10" width="11.00390625" style="206" customWidth="1"/>
    <col min="11" max="16384" width="9.140625" style="206" customWidth="1"/>
  </cols>
  <sheetData>
    <row r="1" ht="12.75">
      <c r="A1" s="24" t="s">
        <v>91</v>
      </c>
    </row>
    <row r="2" ht="12.75">
      <c r="A2" s="207" t="s">
        <v>92</v>
      </c>
    </row>
    <row r="3" ht="13.5"/>
    <row r="4" spans="1:5" ht="18.75">
      <c r="A4" s="208" t="s">
        <v>93</v>
      </c>
      <c r="B4" s="208"/>
      <c r="C4" s="208"/>
      <c r="D4" s="209"/>
      <c r="E4" s="209"/>
    </row>
    <row r="5" spans="1:3" ht="14.25">
      <c r="A5" s="210" t="s">
        <v>94</v>
      </c>
      <c r="B5" s="211" t="s">
        <v>95</v>
      </c>
      <c r="C5" s="212" t="s">
        <v>96</v>
      </c>
    </row>
    <row r="6" spans="1:11" ht="14.25">
      <c r="A6" s="210" t="s">
        <v>97</v>
      </c>
      <c r="B6" s="213" t="s">
        <v>98</v>
      </c>
      <c r="C6" s="214">
        <v>0.2</v>
      </c>
      <c r="E6" s="215"/>
      <c r="F6" s="215"/>
      <c r="G6" s="215"/>
      <c r="H6" s="215"/>
      <c r="I6" s="215"/>
      <c r="J6" s="215"/>
      <c r="K6" s="215"/>
    </row>
    <row r="7" spans="1:11" ht="14.25">
      <c r="A7" s="210" t="s">
        <v>99</v>
      </c>
      <c r="B7" s="213" t="s">
        <v>100</v>
      </c>
      <c r="C7" s="214">
        <v>0.007500000000000001</v>
      </c>
      <c r="E7" s="215"/>
      <c r="F7" s="215"/>
      <c r="G7" s="215"/>
      <c r="H7" s="215"/>
      <c r="I7" s="215"/>
      <c r="J7" s="215"/>
      <c r="K7" s="215"/>
    </row>
    <row r="8" spans="1:11" ht="14.25">
      <c r="A8" s="210" t="s">
        <v>101</v>
      </c>
      <c r="B8" s="213" t="s">
        <v>102</v>
      </c>
      <c r="C8" s="214">
        <v>0.005</v>
      </c>
      <c r="E8" s="215"/>
      <c r="F8" s="215"/>
      <c r="G8" s="215"/>
      <c r="H8" s="215"/>
      <c r="I8" s="215"/>
      <c r="J8" s="215"/>
      <c r="K8" s="215"/>
    </row>
    <row r="9" spans="1:11" ht="14.25">
      <c r="A9" s="210" t="s">
        <v>103</v>
      </c>
      <c r="B9" s="213" t="s">
        <v>104</v>
      </c>
      <c r="C9" s="214" t="s">
        <v>105</v>
      </c>
      <c r="E9" s="215"/>
      <c r="F9" s="215"/>
      <c r="G9" s="215"/>
      <c r="H9" s="215"/>
      <c r="I9" s="215"/>
      <c r="J9" s="215"/>
      <c r="K9" s="215"/>
    </row>
    <row r="10" spans="1:11" ht="14.25">
      <c r="A10" s="210" t="s">
        <v>106</v>
      </c>
      <c r="B10" s="213" t="s">
        <v>107</v>
      </c>
      <c r="C10" s="214" t="s">
        <v>108</v>
      </c>
      <c r="E10" s="215"/>
      <c r="F10" s="215"/>
      <c r="G10" s="215"/>
      <c r="H10" s="215"/>
      <c r="I10" s="215"/>
      <c r="J10" s="215"/>
      <c r="K10" s="215"/>
    </row>
    <row r="11" spans="1:11" ht="14.25">
      <c r="A11" s="210" t="s">
        <v>109</v>
      </c>
      <c r="B11" s="213" t="s">
        <v>110</v>
      </c>
      <c r="C11" s="214">
        <v>0.025</v>
      </c>
      <c r="E11" s="215"/>
      <c r="F11" s="215"/>
      <c r="G11" s="215"/>
      <c r="H11" s="215"/>
      <c r="I11" s="215"/>
      <c r="J11" s="215"/>
      <c r="K11" s="215"/>
    </row>
    <row r="12" spans="1:11" ht="14.25">
      <c r="A12" s="210" t="s">
        <v>111</v>
      </c>
      <c r="B12" s="213" t="s">
        <v>112</v>
      </c>
      <c r="C12" s="214">
        <v>0.03</v>
      </c>
      <c r="E12" s="215"/>
      <c r="F12" s="215"/>
      <c r="G12" s="215"/>
      <c r="H12" s="215"/>
      <c r="I12" s="215"/>
      <c r="J12" s="215"/>
      <c r="K12" s="215"/>
    </row>
    <row r="13" spans="1:11" ht="14.25">
      <c r="A13" s="210" t="s">
        <v>113</v>
      </c>
      <c r="B13" s="213" t="s">
        <v>114</v>
      </c>
      <c r="C13" s="214">
        <v>0.08</v>
      </c>
      <c r="E13" s="215"/>
      <c r="F13" s="215"/>
      <c r="G13" s="215"/>
      <c r="H13" s="215"/>
      <c r="I13" s="215"/>
      <c r="J13" s="215"/>
      <c r="K13" s="215"/>
    </row>
    <row r="14" spans="1:11" ht="15">
      <c r="A14" s="210" t="s">
        <v>115</v>
      </c>
      <c r="B14" s="216" t="s">
        <v>116</v>
      </c>
      <c r="C14" s="217">
        <f>SUM(C6:C13)</f>
        <v>0.34750000000000003</v>
      </c>
      <c r="E14" s="215"/>
      <c r="F14" s="215"/>
      <c r="G14" s="215"/>
      <c r="H14" s="215"/>
      <c r="I14" s="215"/>
      <c r="J14" s="215"/>
      <c r="K14" s="215"/>
    </row>
    <row r="15" spans="1:11" ht="15">
      <c r="A15" s="218"/>
      <c r="B15" s="219"/>
      <c r="C15" s="220"/>
      <c r="E15" s="215"/>
      <c r="F15" s="215"/>
      <c r="G15" s="215"/>
      <c r="H15" s="215"/>
      <c r="I15" s="215"/>
      <c r="J15" s="215"/>
      <c r="K15" s="215"/>
    </row>
    <row r="16" spans="1:11" ht="14.25">
      <c r="A16" s="210" t="s">
        <v>117</v>
      </c>
      <c r="B16" s="213" t="s">
        <v>118</v>
      </c>
      <c r="C16" s="214">
        <f>ROUND(IF('3.CAGED'!C39&gt;24,(1-12/'3.CAGED'!C39)*0.1111,0.1111-C25),4)</f>
        <v>0.0605</v>
      </c>
      <c r="E16" s="215"/>
      <c r="F16" s="215"/>
      <c r="G16" s="215"/>
      <c r="H16" s="215"/>
      <c r="I16" s="215"/>
      <c r="J16" s="215"/>
      <c r="K16" s="215"/>
    </row>
    <row r="17" spans="1:11" ht="14.25">
      <c r="A17" s="210" t="s">
        <v>119</v>
      </c>
      <c r="B17" s="213" t="s">
        <v>120</v>
      </c>
      <c r="C17" s="214">
        <f>ROUND('3.CAGED'!C33/'3.CAGED'!C30,4)</f>
        <v>0.0833</v>
      </c>
      <c r="E17" s="215"/>
      <c r="F17" s="215"/>
      <c r="G17" s="215"/>
      <c r="H17" s="215"/>
      <c r="I17" s="215"/>
      <c r="J17" s="215"/>
      <c r="K17" s="215"/>
    </row>
    <row r="18" spans="1:11" ht="14.25">
      <c r="A18" s="210" t="s">
        <v>121</v>
      </c>
      <c r="B18" s="213" t="s">
        <v>122</v>
      </c>
      <c r="C18" s="214">
        <v>0.0006000000000000001</v>
      </c>
      <c r="E18" s="215"/>
      <c r="F18" s="215"/>
      <c r="G18" s="215"/>
      <c r="H18" s="215"/>
      <c r="I18" s="215"/>
      <c r="J18" s="215"/>
      <c r="K18" s="215"/>
    </row>
    <row r="19" spans="1:11" ht="14.25">
      <c r="A19" s="210" t="s">
        <v>123</v>
      </c>
      <c r="B19" s="213" t="s">
        <v>124</v>
      </c>
      <c r="C19" s="214">
        <v>0.0082</v>
      </c>
      <c r="E19" s="215"/>
      <c r="F19" s="215"/>
      <c r="G19" s="215"/>
      <c r="H19" s="215"/>
      <c r="I19" s="215"/>
      <c r="J19" s="215"/>
      <c r="K19" s="215"/>
    </row>
    <row r="20" spans="1:11" ht="15" customHeight="1">
      <c r="A20" s="210" t="s">
        <v>125</v>
      </c>
      <c r="B20" s="213" t="s">
        <v>126</v>
      </c>
      <c r="C20" s="214">
        <v>0.0031000000000000003</v>
      </c>
      <c r="E20" s="215"/>
      <c r="F20" s="215"/>
      <c r="G20" s="215"/>
      <c r="H20" s="215"/>
      <c r="I20" s="215"/>
      <c r="J20" s="215"/>
      <c r="K20" s="215"/>
    </row>
    <row r="21" spans="1:11" ht="14.25">
      <c r="A21" s="210" t="s">
        <v>127</v>
      </c>
      <c r="B21" s="213" t="s">
        <v>128</v>
      </c>
      <c r="C21" s="214">
        <v>0.0166</v>
      </c>
      <c r="E21" s="215"/>
      <c r="F21" s="215"/>
      <c r="G21" s="215"/>
      <c r="H21" s="215"/>
      <c r="I21" s="215"/>
      <c r="J21" s="215"/>
      <c r="K21" s="215"/>
    </row>
    <row r="22" spans="1:11" ht="15">
      <c r="A22" s="210" t="s">
        <v>129</v>
      </c>
      <c r="B22" s="216" t="s">
        <v>130</v>
      </c>
      <c r="C22" s="217">
        <f>SUM(C16:C21)</f>
        <v>0.1723</v>
      </c>
      <c r="E22" s="215"/>
      <c r="F22" s="215"/>
      <c r="G22" s="215"/>
      <c r="H22" s="215"/>
      <c r="I22" s="215"/>
      <c r="J22" s="215"/>
      <c r="K22" s="215"/>
    </row>
    <row r="23" spans="1:11" ht="15">
      <c r="A23" s="218"/>
      <c r="B23" s="219"/>
      <c r="C23" s="220"/>
      <c r="E23" s="215"/>
      <c r="F23" s="215"/>
      <c r="G23" s="215"/>
      <c r="H23" s="215"/>
      <c r="I23" s="215"/>
      <c r="J23" s="215"/>
      <c r="K23" s="215"/>
    </row>
    <row r="24" spans="1:11" ht="14.25">
      <c r="A24" s="210" t="s">
        <v>131</v>
      </c>
      <c r="B24" s="213" t="s">
        <v>132</v>
      </c>
      <c r="C24" s="214">
        <v>0.038</v>
      </c>
      <c r="D24" s="221"/>
      <c r="E24" s="215"/>
      <c r="F24" s="215"/>
      <c r="G24" s="215"/>
      <c r="H24" s="215"/>
      <c r="I24" s="215"/>
      <c r="J24" s="215"/>
      <c r="K24" s="215"/>
    </row>
    <row r="25" spans="1:11" ht="14.25">
      <c r="A25" s="210" t="s">
        <v>133</v>
      </c>
      <c r="B25" s="213" t="s">
        <v>134</v>
      </c>
      <c r="C25" s="214">
        <v>0.0506</v>
      </c>
      <c r="E25" s="215"/>
      <c r="F25" s="215"/>
      <c r="G25" s="222"/>
      <c r="H25" s="215"/>
      <c r="I25" s="215"/>
      <c r="J25" s="215"/>
      <c r="K25" s="215"/>
    </row>
    <row r="26" spans="1:11" ht="14.25">
      <c r="A26" s="210" t="s">
        <v>135</v>
      </c>
      <c r="B26" s="213" t="s">
        <v>136</v>
      </c>
      <c r="C26" s="214">
        <v>0.004200000000000001</v>
      </c>
      <c r="E26" s="215"/>
      <c r="F26" s="215"/>
      <c r="G26" s="215"/>
      <c r="H26" s="215"/>
      <c r="I26" s="215"/>
      <c r="J26" s="215"/>
      <c r="K26" s="215"/>
    </row>
    <row r="27" spans="1:11" ht="14.25">
      <c r="A27" s="210" t="s">
        <v>137</v>
      </c>
      <c r="B27" s="213" t="s">
        <v>138</v>
      </c>
      <c r="C27" s="214">
        <v>0.0371</v>
      </c>
      <c r="E27" s="215"/>
      <c r="F27" s="223"/>
      <c r="G27" s="215"/>
      <c r="H27" s="215"/>
      <c r="I27" s="215"/>
      <c r="J27" s="215"/>
      <c r="K27" s="215"/>
    </row>
    <row r="28" spans="1:11" ht="14.25">
      <c r="A28" s="210" t="s">
        <v>139</v>
      </c>
      <c r="B28" s="213" t="s">
        <v>140</v>
      </c>
      <c r="C28" s="214">
        <v>0.0026000000000000003</v>
      </c>
      <c r="E28" s="215"/>
      <c r="F28" s="215"/>
      <c r="G28" s="215"/>
      <c r="H28" s="215"/>
      <c r="I28" s="215"/>
      <c r="J28" s="215"/>
      <c r="K28" s="215"/>
    </row>
    <row r="29" spans="1:11" ht="15">
      <c r="A29" s="210" t="s">
        <v>141</v>
      </c>
      <c r="B29" s="216" t="s">
        <v>142</v>
      </c>
      <c r="C29" s="217">
        <f>SUM(C24:C28)</f>
        <v>0.1325</v>
      </c>
      <c r="E29" s="215"/>
      <c r="F29" s="215"/>
      <c r="G29" s="215"/>
      <c r="H29" s="215"/>
      <c r="I29" s="215"/>
      <c r="J29" s="215"/>
      <c r="K29" s="215"/>
    </row>
    <row r="30" spans="1:11" ht="15">
      <c r="A30" s="218"/>
      <c r="B30" s="219"/>
      <c r="C30" s="220"/>
      <c r="E30" s="215"/>
      <c r="F30" s="215"/>
      <c r="G30" s="215"/>
      <c r="H30" s="215"/>
      <c r="I30" s="215"/>
      <c r="J30" s="215"/>
      <c r="K30" s="215"/>
    </row>
    <row r="31" spans="1:11" ht="14.25">
      <c r="A31" s="210" t="s">
        <v>143</v>
      </c>
      <c r="B31" s="213" t="s">
        <v>144</v>
      </c>
      <c r="C31" s="214">
        <f>ROUND(C14*C22,4)</f>
        <v>0.0599</v>
      </c>
      <c r="E31" s="215"/>
      <c r="F31" s="215"/>
      <c r="G31" s="215"/>
      <c r="H31" s="215"/>
      <c r="I31" s="215"/>
      <c r="J31" s="215"/>
      <c r="K31" s="215"/>
    </row>
    <row r="32" spans="1:11" ht="28.5">
      <c r="A32" s="210" t="s">
        <v>145</v>
      </c>
      <c r="B32" s="224" t="s">
        <v>146</v>
      </c>
      <c r="C32" s="214">
        <f>ROUND((C24*C14),4)</f>
        <v>0.0132</v>
      </c>
      <c r="E32" s="215"/>
      <c r="F32" s="215"/>
      <c r="G32" s="215"/>
      <c r="H32" s="215"/>
      <c r="I32" s="215"/>
      <c r="J32" s="215"/>
      <c r="K32" s="215"/>
    </row>
    <row r="33" spans="1:11" ht="15">
      <c r="A33" s="210" t="s">
        <v>147</v>
      </c>
      <c r="B33" s="225" t="s">
        <v>148</v>
      </c>
      <c r="C33" s="226">
        <f>SUM(C31:C32)</f>
        <v>0.0731</v>
      </c>
      <c r="E33" s="215"/>
      <c r="F33" s="215"/>
      <c r="G33" s="215"/>
      <c r="H33" s="215"/>
      <c r="I33" s="215"/>
      <c r="J33" s="215"/>
      <c r="K33" s="215"/>
    </row>
    <row r="34" spans="1:11" ht="15.75">
      <c r="A34" s="227"/>
      <c r="B34" s="228" t="s">
        <v>149</v>
      </c>
      <c r="C34" s="229">
        <f>C33+C29+C22+C14</f>
        <v>0.7254</v>
      </c>
      <c r="E34" s="215"/>
      <c r="F34" s="215"/>
      <c r="G34" s="215"/>
      <c r="H34" s="215"/>
      <c r="I34" s="215"/>
      <c r="J34" s="215"/>
      <c r="K34" s="215"/>
    </row>
    <row r="35" ht="13.5"/>
  </sheetData>
  <sheetProtection selectLockedCells="1" selectUnlockedCells="1"/>
  <mergeCells count="1">
    <mergeCell ref="A4:C4"/>
  </mergeCells>
  <printOptions/>
  <pageMargins left="0.9041666666666667" right="0.5118055555555555" top="0.7479166666666667" bottom="0.747916666666666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3">
      <selection activeCell="A7" sqref="A7"/>
    </sheetView>
  </sheetViews>
  <sheetFormatPr defaultColWidth="8.00390625" defaultRowHeight="12.75"/>
  <cols>
    <col min="1" max="1" width="8.57421875" style="206" customWidth="1"/>
    <col min="2" max="2" width="67.140625" style="206" customWidth="1"/>
    <col min="3" max="3" width="13.7109375" style="206" customWidth="1"/>
    <col min="4" max="4" width="10.28125" style="206" hidden="1" customWidth="1"/>
    <col min="5" max="5" width="13.7109375" style="206" hidden="1" customWidth="1"/>
    <col min="6" max="6" width="14.421875" style="206" hidden="1" customWidth="1"/>
    <col min="7" max="7" width="12.7109375" style="206" hidden="1" customWidth="1"/>
    <col min="8" max="8" width="4.421875" style="206" hidden="1" customWidth="1"/>
    <col min="9" max="9" width="6.8515625" style="206" hidden="1" customWidth="1"/>
    <col min="10" max="10" width="3.28125" style="206" hidden="1" customWidth="1"/>
    <col min="11" max="11" width="9.00390625" style="206" hidden="1" customWidth="1"/>
    <col min="12" max="16384" width="9.140625" style="206" customWidth="1"/>
  </cols>
  <sheetData>
    <row r="1" ht="12.75">
      <c r="A1" s="230" t="s">
        <v>150</v>
      </c>
    </row>
    <row r="3" ht="12.75">
      <c r="A3" s="206" t="s">
        <v>151</v>
      </c>
    </row>
    <row r="4" ht="12.75">
      <c r="A4" s="206" t="s">
        <v>152</v>
      </c>
    </row>
    <row r="5" spans="1:3" ht="25.5" customHeight="1">
      <c r="A5" s="231" t="s">
        <v>153</v>
      </c>
      <c r="B5" s="231"/>
      <c r="C5" s="231"/>
    </row>
    <row r="6" ht="12.75">
      <c r="A6" s="206" t="s">
        <v>154</v>
      </c>
    </row>
    <row r="7" spans="1:3" ht="26.25" customHeight="1">
      <c r="A7" s="231" t="s">
        <v>155</v>
      </c>
      <c r="B7" s="231"/>
      <c r="C7" s="231"/>
    </row>
    <row r="8" ht="12.75">
      <c r="A8" s="206" t="s">
        <v>156</v>
      </c>
    </row>
    <row r="9" ht="12.75">
      <c r="A9" s="206" t="s">
        <v>157</v>
      </c>
    </row>
    <row r="10" ht="13.5"/>
    <row r="11" spans="2:3" ht="18.75">
      <c r="B11" s="232" t="s">
        <v>158</v>
      </c>
      <c r="C11" s="232"/>
    </row>
    <row r="12" spans="1:3" ht="12.75">
      <c r="A12" s="215"/>
      <c r="B12" s="233" t="s">
        <v>159</v>
      </c>
      <c r="C12" s="233"/>
    </row>
    <row r="13" spans="1:3" ht="15">
      <c r="A13" s="215"/>
      <c r="B13" s="234" t="s">
        <v>160</v>
      </c>
      <c r="C13" s="235">
        <v>9343</v>
      </c>
    </row>
    <row r="14" spans="1:3" ht="15">
      <c r="A14" s="215"/>
      <c r="B14" s="236" t="s">
        <v>161</v>
      </c>
      <c r="C14" s="235">
        <v>6967</v>
      </c>
    </row>
    <row r="15" spans="1:3" ht="14.25">
      <c r="A15" s="215"/>
      <c r="B15" s="237" t="s">
        <v>162</v>
      </c>
      <c r="C15" s="238">
        <v>156</v>
      </c>
    </row>
    <row r="16" spans="1:3" ht="14.25">
      <c r="A16" s="215"/>
      <c r="B16" s="237" t="s">
        <v>163</v>
      </c>
      <c r="C16" s="238">
        <v>3467</v>
      </c>
    </row>
    <row r="17" spans="1:3" ht="14.25">
      <c r="A17" s="215"/>
      <c r="B17" s="237" t="s">
        <v>164</v>
      </c>
      <c r="C17" s="238">
        <v>1601</v>
      </c>
    </row>
    <row r="18" spans="1:3" ht="14.25">
      <c r="A18" s="215"/>
      <c r="B18" s="237" t="s">
        <v>165</v>
      </c>
      <c r="C18" s="238">
        <v>33</v>
      </c>
    </row>
    <row r="19" spans="1:3" ht="14.25">
      <c r="A19" s="215"/>
      <c r="B19" s="237" t="s">
        <v>166</v>
      </c>
      <c r="C19" s="238">
        <v>1676</v>
      </c>
    </row>
    <row r="20" spans="1:3" ht="14.25">
      <c r="A20" s="215"/>
      <c r="B20" s="237" t="s">
        <v>167</v>
      </c>
      <c r="C20" s="238">
        <v>2</v>
      </c>
    </row>
    <row r="21" spans="1:3" ht="14.25">
      <c r="A21" s="215"/>
      <c r="B21" s="237" t="s">
        <v>168</v>
      </c>
      <c r="C21" s="238">
        <v>23</v>
      </c>
    </row>
    <row r="22" spans="1:3" ht="14.25">
      <c r="A22" s="215"/>
      <c r="B22" s="239" t="s">
        <v>169</v>
      </c>
      <c r="C22" s="240">
        <v>0</v>
      </c>
    </row>
    <row r="23" spans="1:3" ht="15">
      <c r="A23" s="215" t="s">
        <v>170</v>
      </c>
      <c r="B23" s="241" t="s">
        <v>171</v>
      </c>
      <c r="C23" s="242"/>
    </row>
    <row r="24" spans="1:3" ht="14.25">
      <c r="A24" s="215"/>
      <c r="B24" s="243" t="s">
        <v>172</v>
      </c>
      <c r="C24" s="244">
        <v>14087</v>
      </c>
    </row>
    <row r="25" spans="1:3" ht="14.25">
      <c r="A25" s="215"/>
      <c r="B25" s="237" t="s">
        <v>173</v>
      </c>
      <c r="C25" s="238">
        <v>16463</v>
      </c>
    </row>
    <row r="26" spans="2:3" ht="14.25">
      <c r="B26" s="237" t="s">
        <v>174</v>
      </c>
      <c r="C26" s="238">
        <v>2376</v>
      </c>
    </row>
    <row r="27" spans="2:3" ht="14.25">
      <c r="B27" s="245"/>
      <c r="C27" s="246"/>
    </row>
    <row r="28" spans="2:7" ht="15">
      <c r="B28" s="247" t="s">
        <v>175</v>
      </c>
      <c r="C28" s="248">
        <f>MEDIAN(C13,C14)/MEDIAN(C24,C25)</f>
        <v>0.5338788870703765</v>
      </c>
      <c r="G28" s="206">
        <f>12/C28</f>
        <v>22.477007970570202</v>
      </c>
    </row>
    <row r="29" spans="2:3" ht="15">
      <c r="B29" s="234" t="s">
        <v>176</v>
      </c>
      <c r="C29" s="248">
        <f>C16/MEDIAN(C24,C25)</f>
        <v>0.2269721767594108</v>
      </c>
    </row>
    <row r="30" spans="2:3" ht="15">
      <c r="B30" s="249" t="s">
        <v>177</v>
      </c>
      <c r="C30" s="250">
        <v>360</v>
      </c>
    </row>
    <row r="31" spans="2:3" ht="15">
      <c r="B31" s="234" t="s">
        <v>178</v>
      </c>
      <c r="C31" s="250">
        <v>10</v>
      </c>
    </row>
    <row r="32" spans="2:7" ht="15">
      <c r="B32" s="234" t="s">
        <v>179</v>
      </c>
      <c r="C32" s="250">
        <v>30</v>
      </c>
      <c r="G32" s="206">
        <f>TRUNC(G37)</f>
        <v>10</v>
      </c>
    </row>
    <row r="33" spans="2:3" ht="15">
      <c r="B33" s="234" t="s">
        <v>180</v>
      </c>
      <c r="C33" s="250">
        <v>30</v>
      </c>
    </row>
    <row r="34" spans="2:3" s="230" customFormat="1" ht="15">
      <c r="B34" s="234" t="s">
        <v>181</v>
      </c>
      <c r="C34" s="251">
        <f>MEDIAN(C24,C25)</f>
        <v>15275</v>
      </c>
    </row>
    <row r="35" spans="2:11" s="230" customFormat="1" ht="15">
      <c r="B35" s="234" t="s">
        <v>114</v>
      </c>
      <c r="C35" s="252">
        <v>0.08</v>
      </c>
      <c r="K35" s="230">
        <f>IF(C39&gt;12,C39-12,C39)</f>
        <v>10.477007970570202</v>
      </c>
    </row>
    <row r="36" spans="2:11" s="230" customFormat="1" ht="15">
      <c r="B36" s="234" t="s">
        <v>182</v>
      </c>
      <c r="C36" s="252">
        <v>0.5</v>
      </c>
      <c r="K36" s="230" t="e">
        <f aca="true" t="shared" si="0" ref="K36:K39">NA()</f>
        <v>#N/A</v>
      </c>
    </row>
    <row r="37" spans="2:11" s="230" customFormat="1" ht="15">
      <c r="B37" s="234" t="s">
        <v>183</v>
      </c>
      <c r="C37" s="253">
        <f>((1/C28)-TRUNC(E37))</f>
        <v>0.8730839975475169</v>
      </c>
      <c r="D37" s="230">
        <f>TRUNC(E37)</f>
        <v>1</v>
      </c>
      <c r="E37" s="230">
        <f>1/C28</f>
        <v>1.8730839975475169</v>
      </c>
      <c r="F37" s="230">
        <f>((1/C28)-TRUNC(E37))</f>
        <v>0.8730839975475169</v>
      </c>
      <c r="G37" s="230">
        <f>12*F37</f>
        <v>10.477007970570202</v>
      </c>
      <c r="K37" s="230" t="e">
        <f t="shared" si="0"/>
        <v>#N/A</v>
      </c>
    </row>
    <row r="38" spans="2:11" s="230" customFormat="1" ht="15">
      <c r="B38" s="241" t="s">
        <v>184</v>
      </c>
      <c r="C38" s="254">
        <f>30+D38</f>
        <v>33</v>
      </c>
      <c r="D38" s="230">
        <f>3*D37</f>
        <v>3</v>
      </c>
      <c r="G38" s="230">
        <f>G37/12*40/360</f>
        <v>0.0970093330608352</v>
      </c>
      <c r="K38" s="230" t="e">
        <f t="shared" si="0"/>
        <v>#N/A</v>
      </c>
    </row>
    <row r="39" spans="2:11" s="230" customFormat="1" ht="15.75">
      <c r="B39" s="255" t="s">
        <v>185</v>
      </c>
      <c r="C39" s="256">
        <f>12/C28</f>
        <v>22.477007970570202</v>
      </c>
      <c r="K39" s="230" t="e">
        <f t="shared" si="0"/>
        <v>#N/A</v>
      </c>
    </row>
    <row r="40" ht="13.5">
      <c r="K40" s="206" t="e">
        <f aca="true" t="shared" si="1" ref="K40:K41">IF(K39&gt;12,K39-12,K39)</f>
        <v>#N/A</v>
      </c>
    </row>
    <row r="41" ht="12.75">
      <c r="K41" s="206" t="e">
        <f t="shared" si="1"/>
        <v>#N/A</v>
      </c>
    </row>
  </sheetData>
  <sheetProtection selectLockedCells="1" selectUnlockedCells="1"/>
  <mergeCells count="4">
    <mergeCell ref="A5:C5"/>
    <mergeCell ref="A7:C7"/>
    <mergeCell ref="B11:C11"/>
    <mergeCell ref="B12:C12"/>
  </mergeCells>
  <printOptions/>
  <pageMargins left="0.9041666666666667" right="0.5118055555555555" top="0.7479166666666667" bottom="0.7479166666666667" header="0.5118055555555555" footer="0.5118055555555555"/>
  <pageSetup horizontalDpi="300" verticalDpi="300" orientation="portrait" paperSize="9" scale="98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H28"/>
  <sheetViews>
    <sheetView workbookViewId="0" topLeftCell="A1">
      <selection activeCell="C13" sqref="C13"/>
    </sheetView>
  </sheetViews>
  <sheetFormatPr defaultColWidth="8.00390625" defaultRowHeight="12.75"/>
  <cols>
    <col min="1" max="1" width="41.8515625" style="257" customWidth="1"/>
    <col min="2" max="2" width="5.57421875" style="257" customWidth="1"/>
    <col min="3" max="3" width="9.00390625" style="257" customWidth="1"/>
    <col min="4" max="4" width="9.57421875" style="257" customWidth="1"/>
    <col min="5" max="5" width="8.00390625" style="258" customWidth="1"/>
    <col min="6" max="6" width="9.57421875" style="257" customWidth="1"/>
    <col min="7" max="16384" width="9.00390625" style="257" customWidth="1"/>
  </cols>
  <sheetData>
    <row r="1" spans="1:5" s="260" customFormat="1" ht="14.25">
      <c r="A1" s="24" t="s">
        <v>91</v>
      </c>
      <c r="B1" s="259"/>
      <c r="C1" s="259"/>
      <c r="E1" s="261"/>
    </row>
    <row r="2" spans="1:5" s="260" customFormat="1" ht="14.25">
      <c r="A2" s="207" t="s">
        <v>186</v>
      </c>
      <c r="B2" s="259"/>
      <c r="C2" s="259"/>
      <c r="E2" s="261"/>
    </row>
    <row r="3" spans="1:5" s="260" customFormat="1" ht="14.25">
      <c r="A3" s="1" t="s">
        <v>187</v>
      </c>
      <c r="B3" s="259"/>
      <c r="C3" s="259"/>
      <c r="E3" s="261"/>
    </row>
    <row r="4" spans="1:5" s="260" customFormat="1" ht="14.25">
      <c r="A4" s="207"/>
      <c r="B4" s="259"/>
      <c r="C4" s="259"/>
      <c r="E4" s="261"/>
    </row>
    <row r="5" spans="2:5" s="260" customFormat="1" ht="15">
      <c r="B5" s="259"/>
      <c r="C5" s="259"/>
      <c r="E5" s="261"/>
    </row>
    <row r="6" spans="1:6" ht="16.5">
      <c r="A6" s="262" t="s">
        <v>188</v>
      </c>
      <c r="B6" s="262"/>
      <c r="C6" s="262"/>
      <c r="D6" s="262"/>
      <c r="E6" s="262"/>
      <c r="F6" s="262"/>
    </row>
    <row r="7" spans="1:6" ht="16.5">
      <c r="A7" s="263"/>
      <c r="B7" s="264"/>
      <c r="C7" s="264"/>
      <c r="D7" s="264"/>
      <c r="E7" s="264"/>
      <c r="F7" s="265"/>
    </row>
    <row r="8" spans="1:8" ht="15.75">
      <c r="A8" s="266"/>
      <c r="B8" s="267"/>
      <c r="C8" s="267"/>
      <c r="D8" s="268" t="s">
        <v>189</v>
      </c>
      <c r="E8" s="268"/>
      <c r="F8" s="268"/>
      <c r="G8" s="260"/>
      <c r="H8" s="260"/>
    </row>
    <row r="9" spans="1:8" ht="15">
      <c r="A9" s="245"/>
      <c r="B9" s="269"/>
      <c r="C9" s="269"/>
      <c r="D9" s="270" t="s">
        <v>190</v>
      </c>
      <c r="E9" s="271" t="s">
        <v>191</v>
      </c>
      <c r="F9" s="272"/>
      <c r="G9" s="260"/>
      <c r="H9" s="260"/>
    </row>
    <row r="10" spans="1:8" ht="15">
      <c r="A10" s="273" t="s">
        <v>192</v>
      </c>
      <c r="B10" s="274" t="s">
        <v>193</v>
      </c>
      <c r="C10" s="275">
        <v>0.05</v>
      </c>
      <c r="D10" s="276">
        <v>0.0297</v>
      </c>
      <c r="E10" s="277">
        <v>0.050800000000000005</v>
      </c>
      <c r="F10" s="278"/>
      <c r="G10" s="260"/>
      <c r="H10" s="260"/>
    </row>
    <row r="11" spans="1:8" ht="14.25">
      <c r="A11" s="279" t="s">
        <v>194</v>
      </c>
      <c r="B11" s="280" t="s">
        <v>195</v>
      </c>
      <c r="C11" s="281">
        <v>0.0086</v>
      </c>
      <c r="D11" s="276">
        <v>0.0086</v>
      </c>
      <c r="E11" s="277">
        <f>0.0048+0.0085</f>
        <v>0.013300000000000001</v>
      </c>
      <c r="F11" s="278"/>
      <c r="G11" s="260"/>
      <c r="H11" s="260"/>
    </row>
    <row r="12" spans="1:8" ht="14.25">
      <c r="A12" s="279" t="s">
        <v>196</v>
      </c>
      <c r="B12" s="280" t="s">
        <v>197</v>
      </c>
      <c r="C12" s="281">
        <v>0.08</v>
      </c>
      <c r="D12" s="276">
        <v>0.05</v>
      </c>
      <c r="E12" s="277">
        <v>0.08</v>
      </c>
      <c r="F12" s="278"/>
      <c r="G12" s="260"/>
      <c r="H12" s="260"/>
    </row>
    <row r="13" spans="1:8" ht="14.25">
      <c r="A13" s="279" t="s">
        <v>198</v>
      </c>
      <c r="B13" s="280" t="s">
        <v>199</v>
      </c>
      <c r="C13" s="281">
        <f>E13/12</f>
        <v>0.0025</v>
      </c>
      <c r="D13" s="276" t="s">
        <v>200</v>
      </c>
      <c r="E13" s="282">
        <v>0.03</v>
      </c>
      <c r="F13" s="283"/>
      <c r="G13" s="260"/>
      <c r="H13" s="260"/>
    </row>
    <row r="14" spans="1:8" ht="15">
      <c r="A14" s="279" t="s">
        <v>201</v>
      </c>
      <c r="B14" s="284" t="s">
        <v>202</v>
      </c>
      <c r="C14" s="281">
        <v>0.03</v>
      </c>
      <c r="D14" s="285" t="s">
        <v>203</v>
      </c>
      <c r="E14" s="286">
        <v>0.02</v>
      </c>
      <c r="F14" s="287"/>
      <c r="G14" s="260"/>
      <c r="H14" s="260"/>
    </row>
    <row r="15" spans="1:8" ht="15.75">
      <c r="A15" s="288" t="s">
        <v>204</v>
      </c>
      <c r="B15" s="284"/>
      <c r="C15" s="289">
        <v>0.036500000000000005</v>
      </c>
      <c r="D15" s="237"/>
      <c r="E15" s="290">
        <v>0.036500000000000005</v>
      </c>
      <c r="F15" s="287"/>
      <c r="G15" s="260"/>
      <c r="H15" s="260"/>
    </row>
    <row r="16" spans="1:8" ht="15">
      <c r="A16" s="291" t="s">
        <v>205</v>
      </c>
      <c r="B16" s="292"/>
      <c r="C16" s="293"/>
      <c r="D16" s="237"/>
      <c r="E16" s="294"/>
      <c r="F16" s="287"/>
      <c r="G16" s="260"/>
      <c r="H16" s="260"/>
    </row>
    <row r="17" spans="1:8" ht="15">
      <c r="A17" s="295" t="s">
        <v>206</v>
      </c>
      <c r="B17" s="296"/>
      <c r="C17" s="297"/>
      <c r="D17" s="237"/>
      <c r="E17" s="294"/>
      <c r="F17" s="287"/>
      <c r="G17" s="260"/>
      <c r="H17" s="260"/>
    </row>
    <row r="18" spans="1:8" ht="16.5">
      <c r="A18" s="298" t="s">
        <v>207</v>
      </c>
      <c r="B18" s="299"/>
      <c r="C18" s="300">
        <f>ROUND((((1+C10+C11)*(1+C12)*(1+C13))/(1-(C14+C15))-1),4)</f>
        <v>0.2278</v>
      </c>
      <c r="D18" s="301"/>
      <c r="E18" s="302"/>
      <c r="F18" s="303"/>
      <c r="G18" s="260"/>
      <c r="H18" s="260"/>
    </row>
    <row r="19" spans="1:8" ht="15">
      <c r="A19" s="260"/>
      <c r="B19" s="260"/>
      <c r="C19" s="260"/>
      <c r="D19" s="260"/>
      <c r="E19" s="261"/>
      <c r="F19" s="260"/>
      <c r="G19" s="260"/>
      <c r="H19" s="260"/>
    </row>
    <row r="20" spans="1:8" ht="14.25">
      <c r="A20" s="304" t="s">
        <v>208</v>
      </c>
      <c r="B20" s="304"/>
      <c r="C20" s="304"/>
      <c r="D20" s="304"/>
      <c r="E20" s="304"/>
      <c r="F20" s="304"/>
      <c r="G20" s="260"/>
      <c r="H20" s="260"/>
    </row>
    <row r="21" spans="1:8" ht="14.25">
      <c r="A21" s="304" t="s">
        <v>209</v>
      </c>
      <c r="B21" s="304"/>
      <c r="C21" s="304"/>
      <c r="D21" s="304"/>
      <c r="E21" s="304"/>
      <c r="F21" s="304"/>
      <c r="G21" s="260"/>
      <c r="H21" s="260"/>
    </row>
    <row r="22" spans="1:8" ht="14.25">
      <c r="A22" s="304" t="s">
        <v>210</v>
      </c>
      <c r="B22" s="304"/>
      <c r="C22" s="304"/>
      <c r="D22" s="304"/>
      <c r="E22" s="304"/>
      <c r="F22" s="304"/>
      <c r="G22" s="260"/>
      <c r="H22" s="260"/>
    </row>
    <row r="23" spans="1:6" ht="14.25">
      <c r="A23" s="304" t="s">
        <v>211</v>
      </c>
      <c r="B23" s="304"/>
      <c r="C23" s="304"/>
      <c r="D23" s="304"/>
      <c r="E23" s="304"/>
      <c r="F23" s="304"/>
    </row>
    <row r="24" spans="1:6" ht="14.25">
      <c r="A24" s="304" t="s">
        <v>212</v>
      </c>
      <c r="B24" s="304"/>
      <c r="C24" s="304"/>
      <c r="D24" s="304"/>
      <c r="E24" s="304"/>
      <c r="F24" s="304"/>
    </row>
    <row r="25" spans="1:6" ht="14.25">
      <c r="A25" s="304" t="s">
        <v>213</v>
      </c>
      <c r="B25" s="304"/>
      <c r="C25" s="304"/>
      <c r="D25" s="304"/>
      <c r="E25" s="304"/>
      <c r="F25" s="304"/>
    </row>
    <row r="26" spans="1:6" ht="14.25">
      <c r="A26" s="304" t="s">
        <v>214</v>
      </c>
      <c r="B26" s="304"/>
      <c r="C26" s="304"/>
      <c r="D26" s="304"/>
      <c r="E26" s="304"/>
      <c r="F26" s="304"/>
    </row>
    <row r="27" spans="1:6" ht="14.25">
      <c r="A27" s="305"/>
      <c r="B27" s="305"/>
      <c r="C27" s="305"/>
      <c r="D27" s="305"/>
      <c r="E27" s="305"/>
      <c r="F27" s="305"/>
    </row>
    <row r="28" ht="12.75">
      <c r="A28" s="257" t="s">
        <v>215</v>
      </c>
    </row>
  </sheetData>
  <sheetProtection selectLockedCells="1" selectUnlockedCells="1"/>
  <mergeCells count="11">
    <mergeCell ref="A6:F6"/>
    <mergeCell ref="D8:F8"/>
    <mergeCell ref="B14:B15"/>
    <mergeCell ref="A20:F20"/>
    <mergeCell ref="A21:F21"/>
    <mergeCell ref="A22:F22"/>
    <mergeCell ref="A23:F23"/>
    <mergeCell ref="A24:F24"/>
    <mergeCell ref="A25:F25"/>
    <mergeCell ref="A26:F26"/>
    <mergeCell ref="A27:F27"/>
  </mergeCells>
  <printOptions/>
  <pageMargins left="0.9041666666666667" right="0.5118055555555555" top="0.7479166666666667" bottom="0.747916666666666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D14" sqref="D14"/>
    </sheetView>
  </sheetViews>
  <sheetFormatPr defaultColWidth="8.00390625" defaultRowHeight="19.5" customHeight="1"/>
  <cols>
    <col min="1" max="1" width="24.57421875" style="206" customWidth="1"/>
    <col min="2" max="2" width="20.8515625" style="206" customWidth="1"/>
    <col min="3" max="16384" width="9.140625" style="206" customWidth="1"/>
  </cols>
  <sheetData>
    <row r="1" spans="1:2" ht="19.5" customHeight="1">
      <c r="A1" s="306" t="s">
        <v>216</v>
      </c>
      <c r="B1" s="306"/>
    </row>
    <row r="2" spans="1:2" s="230" customFormat="1" ht="19.5" customHeight="1">
      <c r="A2" s="307" t="s">
        <v>217</v>
      </c>
      <c r="B2" s="308" t="s">
        <v>218</v>
      </c>
    </row>
    <row r="3" spans="1:2" ht="19.5" customHeight="1">
      <c r="A3" s="309">
        <v>1</v>
      </c>
      <c r="B3" s="310">
        <v>33.63</v>
      </c>
    </row>
    <row r="4" spans="1:2" ht="19.5" customHeight="1">
      <c r="A4" s="309">
        <v>2</v>
      </c>
      <c r="B4" s="310">
        <v>43.13</v>
      </c>
    </row>
    <row r="5" spans="1:2" ht="19.5" customHeight="1">
      <c r="A5" s="309">
        <v>3</v>
      </c>
      <c r="B5" s="310">
        <v>48.68</v>
      </c>
    </row>
    <row r="6" spans="1:2" ht="19.5" customHeight="1">
      <c r="A6" s="309">
        <v>4</v>
      </c>
      <c r="B6" s="310">
        <v>52.62</v>
      </c>
    </row>
    <row r="7" spans="1:2" ht="19.5" customHeight="1">
      <c r="A7" s="309">
        <v>5</v>
      </c>
      <c r="B7" s="310">
        <v>55.68</v>
      </c>
    </row>
    <row r="8" spans="1:2" ht="19.5" customHeight="1">
      <c r="A8" s="309">
        <v>6</v>
      </c>
      <c r="B8" s="310">
        <v>58.18</v>
      </c>
    </row>
    <row r="9" spans="1:2" ht="19.5" customHeight="1">
      <c r="A9" s="309">
        <v>7</v>
      </c>
      <c r="B9" s="310">
        <v>60.29</v>
      </c>
    </row>
    <row r="10" spans="1:2" ht="19.5" customHeight="1">
      <c r="A10" s="309">
        <v>8</v>
      </c>
      <c r="B10" s="310">
        <v>62.12</v>
      </c>
    </row>
    <row r="11" spans="1:2" ht="19.5" customHeight="1">
      <c r="A11" s="309">
        <v>9</v>
      </c>
      <c r="B11" s="310">
        <v>63.73</v>
      </c>
    </row>
    <row r="12" spans="1:2" ht="19.5" customHeight="1">
      <c r="A12" s="309">
        <v>10</v>
      </c>
      <c r="B12" s="310">
        <v>65.18</v>
      </c>
    </row>
    <row r="13" spans="1:2" ht="19.5" customHeight="1">
      <c r="A13" s="309">
        <v>11</v>
      </c>
      <c r="B13" s="310">
        <v>66.48</v>
      </c>
    </row>
    <row r="14" spans="1:2" ht="19.5" customHeight="1">
      <c r="A14" s="309">
        <v>12</v>
      </c>
      <c r="B14" s="310">
        <v>67.67</v>
      </c>
    </row>
    <row r="15" spans="1:2" ht="19.5" customHeight="1">
      <c r="A15" s="309">
        <v>13</v>
      </c>
      <c r="B15" s="310">
        <v>68.77</v>
      </c>
    </row>
    <row r="16" spans="1:2" ht="19.5" customHeight="1">
      <c r="A16" s="309">
        <v>14</v>
      </c>
      <c r="B16" s="310">
        <v>69.79</v>
      </c>
    </row>
    <row r="17" spans="1:2" ht="19.5" customHeight="1">
      <c r="A17" s="311">
        <v>15</v>
      </c>
      <c r="B17" s="312">
        <v>70.73</v>
      </c>
    </row>
  </sheetData>
  <sheetProtection selectLockedCells="1" selectUnlockedCells="1"/>
  <mergeCells count="1">
    <mergeCell ref="A1:B1"/>
  </mergeCells>
  <printOptions/>
  <pageMargins left="0.9041666666666667" right="0.5118055555555555" top="0.7479166666666667" bottom="0.747916666666666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F6" sqref="F6"/>
    </sheetView>
  </sheetViews>
  <sheetFormatPr defaultColWidth="8.00390625" defaultRowHeight="12.75"/>
  <cols>
    <col min="1" max="1" width="9.140625" style="0" customWidth="1"/>
    <col min="2" max="2" width="11.00390625" style="0" customWidth="1"/>
    <col min="3" max="3" width="14.421875" style="0" customWidth="1"/>
    <col min="4" max="16384" width="9.140625" style="0" customWidth="1"/>
  </cols>
  <sheetData>
    <row r="1" spans="1:6" ht="15.75">
      <c r="A1" s="313" t="s">
        <v>219</v>
      </c>
      <c r="B1" s="314"/>
      <c r="C1" s="314"/>
      <c r="D1" s="314"/>
      <c r="E1" s="314"/>
      <c r="F1" s="314"/>
    </row>
    <row r="2" spans="1:6" ht="15">
      <c r="A2" s="315" t="s">
        <v>220</v>
      </c>
      <c r="B2" s="314"/>
      <c r="C2" s="314"/>
      <c r="D2" s="314"/>
      <c r="E2" s="314"/>
      <c r="F2" s="314"/>
    </row>
    <row r="3" spans="1:6" ht="15">
      <c r="A3" s="315" t="s">
        <v>221</v>
      </c>
      <c r="B3" s="314"/>
      <c r="C3" s="314"/>
      <c r="D3" s="314"/>
      <c r="E3" s="314"/>
      <c r="F3" s="314"/>
    </row>
    <row r="4" spans="1:6" ht="15">
      <c r="A4" s="316" t="s">
        <v>222</v>
      </c>
      <c r="B4" s="316" t="s">
        <v>223</v>
      </c>
      <c r="C4" s="316" t="s">
        <v>224</v>
      </c>
      <c r="D4" s="316" t="s">
        <v>225</v>
      </c>
      <c r="E4" s="316" t="s">
        <v>226</v>
      </c>
      <c r="F4" s="316" t="s">
        <v>227</v>
      </c>
    </row>
    <row r="5" spans="1:6" ht="15">
      <c r="A5" s="317">
        <v>1</v>
      </c>
      <c r="B5" s="316" t="s">
        <v>228</v>
      </c>
      <c r="C5" s="316" t="s">
        <v>229</v>
      </c>
      <c r="D5" s="318">
        <v>0.3125</v>
      </c>
      <c r="E5" s="318">
        <v>0.4791666666666667</v>
      </c>
      <c r="F5" s="318">
        <v>0.16666666666666666</v>
      </c>
    </row>
    <row r="6" spans="1:6" ht="15">
      <c r="A6" s="314"/>
      <c r="B6" s="314"/>
      <c r="C6" s="314"/>
      <c r="D6" s="319">
        <v>0.5416666666666666</v>
      </c>
      <c r="E6" s="319">
        <v>0.7083333333333334</v>
      </c>
      <c r="F6" s="319">
        <v>0.16666666666666666</v>
      </c>
    </row>
    <row r="7" spans="1:6" ht="15">
      <c r="A7" s="315" t="s">
        <v>230</v>
      </c>
      <c r="B7" s="314"/>
      <c r="C7" s="314"/>
      <c r="D7" s="314"/>
      <c r="E7" s="314"/>
      <c r="F7" s="314"/>
    </row>
    <row r="8" spans="1:6" ht="15">
      <c r="A8" s="320" t="s">
        <v>231</v>
      </c>
      <c r="B8" s="321"/>
      <c r="C8" s="321"/>
      <c r="D8" s="321"/>
      <c r="E8" s="321"/>
      <c r="F8" s="322">
        <v>8</v>
      </c>
    </row>
    <row r="9" spans="1:6" ht="15">
      <c r="A9" s="320" t="s">
        <v>232</v>
      </c>
      <c r="B9" s="321"/>
      <c r="C9" s="321"/>
      <c r="D9" s="321"/>
      <c r="E9" s="321"/>
      <c r="F9" s="323">
        <v>5</v>
      </c>
    </row>
    <row r="10" spans="1:6" ht="15">
      <c r="A10" s="320" t="s">
        <v>233</v>
      </c>
      <c r="B10" s="321"/>
      <c r="C10" s="321"/>
      <c r="D10" s="321"/>
      <c r="E10" s="321"/>
      <c r="F10" s="322">
        <f>F8*F9</f>
        <v>40</v>
      </c>
    </row>
    <row r="11" spans="1:6" ht="15">
      <c r="A11" s="320" t="s">
        <v>234</v>
      </c>
      <c r="B11" s="321"/>
      <c r="C11" s="321"/>
      <c r="D11" s="321"/>
      <c r="E11" s="321"/>
      <c r="F11" s="323">
        <v>6</v>
      </c>
    </row>
    <row r="12" spans="1:6" ht="15">
      <c r="A12" s="320" t="s">
        <v>235</v>
      </c>
      <c r="B12" s="321"/>
      <c r="C12" s="321"/>
      <c r="D12" s="321"/>
      <c r="E12" s="321"/>
      <c r="F12" s="323">
        <v>7</v>
      </c>
    </row>
    <row r="13" spans="1:6" ht="15">
      <c r="A13" s="320" t="s">
        <v>236</v>
      </c>
      <c r="B13" s="321"/>
      <c r="C13" s="321"/>
      <c r="D13" s="321"/>
      <c r="E13" s="321"/>
      <c r="F13" s="322">
        <f>F10/F11</f>
        <v>6.666666666666667</v>
      </c>
    </row>
    <row r="14" spans="1:6" ht="15">
      <c r="A14" s="320" t="s">
        <v>237</v>
      </c>
      <c r="B14" s="321"/>
      <c r="C14" s="321"/>
      <c r="D14" s="321"/>
      <c r="E14" s="321"/>
      <c r="F14" s="323">
        <v>30</v>
      </c>
    </row>
    <row r="15" spans="1:6" ht="15">
      <c r="A15" s="324" t="s">
        <v>238</v>
      </c>
      <c r="B15" s="325"/>
      <c r="C15" s="325"/>
      <c r="D15" s="325"/>
      <c r="E15" s="325"/>
      <c r="F15" s="326">
        <f>F13*F14</f>
        <v>200</v>
      </c>
    </row>
    <row r="16" spans="1:6" ht="15">
      <c r="A16" s="324" t="s">
        <v>239</v>
      </c>
      <c r="B16" s="325"/>
      <c r="C16" s="325"/>
      <c r="D16" s="325"/>
      <c r="E16" s="325"/>
      <c r="F16" s="316">
        <v>220</v>
      </c>
    </row>
    <row r="17" spans="1:6" ht="15">
      <c r="A17" s="324" t="s">
        <v>240</v>
      </c>
      <c r="B17" s="325"/>
      <c r="C17" s="325"/>
      <c r="D17" s="325"/>
      <c r="E17" s="325"/>
      <c r="F17" s="327">
        <f>F15/F16</f>
        <v>0.9090909090909091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2020-07-29T22:15:56Z</dcterms:created>
  <dcterms:modified xsi:type="dcterms:W3CDTF">2020-10-06T20:10:09Z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1046-11.2.0.9684</vt:lpwstr>
  </property>
</Properties>
</file>