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tem 12" sheetId="1" r:id="rId1"/>
    <sheet name="Item 11" sheetId="2" r:id="rId2"/>
    <sheet name="Item 16" sheetId="3" r:id="rId3"/>
    <sheet name="Item 15" sheetId="4" r:id="rId4"/>
    <sheet name="Item 14" sheetId="5" r:id="rId5"/>
    <sheet name="Item 13" sheetId="6" r:id="rId6"/>
    <sheet name="2.Encargos Sociais" sheetId="7" r:id="rId7"/>
    <sheet name="3.CAGED" sheetId="8" r:id="rId8"/>
    <sheet name="4.BDI" sheetId="9" r:id="rId9"/>
    <sheet name="5. Depreciação" sheetId="10" r:id="rId10"/>
    <sheet name="Horários" sheetId="11" r:id="rId11"/>
    <sheet name="Veículos Equip. Injeção" sheetId="12" r:id="rId12"/>
    <sheet name="Veículos Equip Ar Condi" sheetId="13" r:id="rId13"/>
    <sheet name="Veículos Equip Torno" sheetId="14" r:id="rId14"/>
    <sheet name="Veículos Equip Solda" sheetId="15" r:id="rId15"/>
  </sheets>
  <definedNames>
    <definedName name="AbaDeprec">'5. Depreciação'!$A$1</definedName>
    <definedName name="AbaRemun">NA()</definedName>
    <definedName name="_xlfn_IFERROR">#N/A</definedName>
    <definedName name="_xlnm.Print_Area" localSheetId="0">'Item 12'!$A$1:$F$111</definedName>
    <definedName name="_xlnm.Print_Titles" localSheetId="0">'Item 12'!$1:$1</definedName>
    <definedName name="_xlnm_Print_Area" localSheetId="0">'Item 12'!$A$1:$F$111</definedName>
    <definedName name="_xlnm_Print_Titles" localSheetId="0">'Item 12'!$1:$1</definedName>
    <definedName name="_xlnm.Print_Area" localSheetId="1">'Item 11'!$A$1:$F$111</definedName>
    <definedName name="_xlnm.Print_Titles" localSheetId="1">'Item 11'!$1:$1</definedName>
    <definedName name="_xlnm_Print_Area" localSheetId="1">'Item 11'!$A$1:$F$111</definedName>
    <definedName name="_xlnm_Print_Titles" localSheetId="1">'Item 11'!$1:$1</definedName>
    <definedName name="_xlnm.Print_Area" localSheetId="2">'Item 16'!$A$1:$F$111</definedName>
    <definedName name="_xlnm.Print_Titles" localSheetId="2">'Item 16'!$1:$1</definedName>
    <definedName name="_xlnm_Print_Area" localSheetId="2">'Item 16'!$A$1:$F$111</definedName>
    <definedName name="_xlnm_Print_Titles" localSheetId="2">'Item 16'!$1:$1</definedName>
    <definedName name="_xlnm.Print_Area" localSheetId="3">'Item 15'!$A$1:$F$111</definedName>
    <definedName name="_xlnm.Print_Titles" localSheetId="3">'Item 15'!$1:$1</definedName>
    <definedName name="_xlnm_Print_Area" localSheetId="3">'Item 15'!$A$1:$F$111</definedName>
    <definedName name="_xlnm_Print_Titles" localSheetId="3">'Item 15'!$1:$1</definedName>
    <definedName name="_xlnm.Print_Area" localSheetId="4">'Item 14'!$A$1:$F$111</definedName>
    <definedName name="_xlnm.Print_Titles" localSheetId="4">'Item 14'!$1:$1</definedName>
    <definedName name="_xlnm_Print_Area" localSheetId="4">'Item 14'!$A$1:$F$111</definedName>
    <definedName name="_xlnm_Print_Titles" localSheetId="4">'Item 14'!$1:$1</definedName>
    <definedName name="_xlnm.Print_Area" localSheetId="5">'Item 13'!$A$1:$F$111</definedName>
    <definedName name="_xlnm.Print_Titles" localSheetId="5">'Item 13'!$1:$1</definedName>
    <definedName name="_xlnm_Print_Area" localSheetId="5">'Item 13'!$A$1:$F$111</definedName>
    <definedName name="_xlnm_Print_Titles" localSheetId="5">'Item 13'!$1:$1</definedName>
    <definedName name="_xlnm.Print_Area" localSheetId="6">'2.Encargos Sociais'!$A$1:$C$36</definedName>
    <definedName name="_xlnm_Print_Area" localSheetId="6">'2.Encargos Sociais'!$A$1:$C$36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7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56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D58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57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56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D58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7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56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D58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57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56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D58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57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56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D58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57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56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D58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5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</commentList>
</comments>
</file>

<file path=xl/sharedStrings.xml><?xml version="1.0" encoding="utf-8"?>
<sst xmlns="http://schemas.openxmlformats.org/spreadsheetml/2006/main" count="1193" uniqueCount="273">
  <si>
    <t>PLANILHA DE CUSTOS</t>
  </si>
  <si>
    <t xml:space="preserve">ITEM 12 - PRESTAÇÃO DE SERVIÇOS DE MÃO DE OBRA INJEÇÃO DIESEL
</t>
  </si>
  <si>
    <t>Planilha de Composição de Custos - Município de Não-Me-Toque/RS</t>
  </si>
  <si>
    <t>Orçamento Sintético</t>
  </si>
  <si>
    <t>Descrição do Item</t>
  </si>
  <si>
    <t>Custo (R$/mês)</t>
  </si>
  <si>
    <t>%</t>
  </si>
  <si>
    <t>PREÇO TOTAL MENSAL</t>
  </si>
  <si>
    <t>Quantitativos</t>
  </si>
  <si>
    <t>Mão-de-obra</t>
  </si>
  <si>
    <t>Quantidade</t>
  </si>
  <si>
    <t>Piso da categoria</t>
  </si>
  <si>
    <t>Adicional de Insalubridade</t>
  </si>
  <si>
    <t>Tempo trabalho por mês (Horas) + (DSR)</t>
  </si>
  <si>
    <t xml:space="preserve">Piso da categoria  + 4,56% IPCA Base 2018  </t>
  </si>
  <si>
    <t>Tempo trabalho por mês (Horas)</t>
  </si>
  <si>
    <t>Total de mão-de-obra (postos de trabalho)</t>
  </si>
  <si>
    <t>Fator de utilização (FU)</t>
  </si>
  <si>
    <t>1. Mão-de-obra</t>
  </si>
  <si>
    <t>1.1. Prestador de Serviços de Mecânica/elétrica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</si>
  <si>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</si>
  <si>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</si>
  <si>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</si>
  <si>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</si>
  <si>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</rPr>
      <t xml:space="preserve">Total </t>
    </r>
    <r>
      <rPr>
        <b/>
        <u val="single"/>
        <sz val="9"/>
        <rFont val="Arial"/>
        <family val="2"/>
      </rPr>
      <t>(R$)</t>
    </r>
  </si>
  <si>
    <t>mês</t>
  </si>
  <si>
    <t>Soma</t>
  </si>
  <si>
    <t>Encargos Sociais</t>
  </si>
  <si>
    <t>Total por prestador</t>
  </si>
  <si>
    <t>Total por Assistente Administrativo</t>
  </si>
  <si>
    <t>Total do Efetivo</t>
  </si>
  <si>
    <t>homem</t>
  </si>
  <si>
    <t>Obs: considerado 220 horas/mês para cada funcionário com DSR</t>
  </si>
  <si>
    <t>Fator de util.</t>
  </si>
  <si>
    <t xml:space="preserve">1.2. Auxiliar de mecânica </t>
  </si>
  <si>
    <t>1.3. Vale Transporte</t>
  </si>
  <si>
    <t>Vale Transporte</t>
  </si>
  <si>
    <t>R$</t>
  </si>
  <si>
    <t>Dias Trabalhados por mês</t>
  </si>
  <si>
    <t>dia</t>
  </si>
  <si>
    <t xml:space="preserve">Mecânico </t>
  </si>
  <si>
    <t>vale</t>
  </si>
  <si>
    <t xml:space="preserve">Auxiliar </t>
  </si>
  <si>
    <t>1.4. Auxílio Alimentação (mensal)</t>
  </si>
  <si>
    <t>Auxílio Alimentação (21 dias por mês)</t>
  </si>
  <si>
    <t>unidade</t>
  </si>
  <si>
    <t xml:space="preserve">Vale alimentação no valor de R$17,41, cfe Claúsula Déc. Nona, descontado 19% do funcionário. </t>
  </si>
  <si>
    <t>1. Custo Mensal com Mão-de-obra</t>
  </si>
  <si>
    <t>2. Uniformes e Equipamentos de Proteção Individual</t>
  </si>
  <si>
    <t>2.1. Uniformes e EPIs</t>
  </si>
  <si>
    <t>Durabilidade (meses)</t>
  </si>
  <si>
    <t>Calça</t>
  </si>
  <si>
    <t>Camiseta manga curta</t>
  </si>
  <si>
    <t>Camiseta manga longa</t>
  </si>
  <si>
    <t>Botina</t>
  </si>
  <si>
    <t>par</t>
  </si>
  <si>
    <t>Luva de proteção</t>
  </si>
  <si>
    <t>Jaqueta</t>
  </si>
  <si>
    <t>Quantidade de trabalhadores (concedido 01 uniforme p/colaborador)</t>
  </si>
  <si>
    <t>2. Custo Mensal com Uniformes e EPIs</t>
  </si>
  <si>
    <t xml:space="preserve">3 Despesas Transporte/Locomoção </t>
  </si>
  <si>
    <t>Total (R$)</t>
  </si>
  <si>
    <t>Despesa de transporte/locomoção</t>
  </si>
  <si>
    <t>km</t>
  </si>
  <si>
    <t xml:space="preserve">4. Veículos/Equipamentos/ferramentas </t>
  </si>
  <si>
    <t xml:space="preserve">4.1. Depreciação/manutenção </t>
  </si>
  <si>
    <t xml:space="preserve">Máquinas/Equipamentos/Ferramentas  </t>
  </si>
  <si>
    <t>Vida útil</t>
  </si>
  <si>
    <t>anos</t>
  </si>
  <si>
    <t>Idade do equipamento</t>
  </si>
  <si>
    <t>Depreciação</t>
  </si>
  <si>
    <t>Depreciação mensal</t>
  </si>
  <si>
    <t xml:space="preserve">Manutenção dos equipamentos e ferramentas </t>
  </si>
  <si>
    <t xml:space="preserve">mês </t>
  </si>
  <si>
    <t xml:space="preserve">Total Geral c/despesas de equipamentos e ferram. </t>
  </si>
  <si>
    <t>CUSTO TOTAL MENSAL COM DESPESAS OPERACIONAIS (R$/mês)</t>
  </si>
  <si>
    <t>5. Benefícios e Despesas Indiretas</t>
  </si>
  <si>
    <t>Benefícios e despesas indiretas</t>
  </si>
  <si>
    <t>5. Custo Mensal Com BDI</t>
  </si>
  <si>
    <t>PREÇO MENSAL TOTAL</t>
  </si>
  <si>
    <t>Total de horas úteis mês</t>
  </si>
  <si>
    <t>Preço por hora de mecânica/elétrica</t>
  </si>
  <si>
    <t xml:space="preserve">Obs:A licitante deverá formular sua planilha de acordo com seus encargos/impostos, conforme determina a legislação de sua atividade. </t>
  </si>
  <si>
    <t xml:space="preserve">ITEM 11 - PRESTAÇÃO DE SERVIÇOS DE MÃO DE OBRA INJEÇÃO GASOLINA
</t>
  </si>
  <si>
    <t>Obs:A licitante deverá formular sua planilha de acordo com seus encargos/impostos, conforme determina a legislação de sua atividade.</t>
  </si>
  <si>
    <t xml:space="preserve">ITEM 16 - PRESTAÇÃO DE SERVIÇOS DE MÃO DE OBRA REPARAÇÃO AR CONDICIONADO
</t>
  </si>
  <si>
    <t>Preço por hora de conserto de ar condicionado</t>
  </si>
  <si>
    <t xml:space="preserve">ITEM 15 - PRESTAÇÃO DE SERVIÇOS DE MÃO DE OBRA DE TORNO
</t>
  </si>
  <si>
    <t xml:space="preserve">1.1. Prestador de Serviços de Torneiro Mecânico </t>
  </si>
  <si>
    <t xml:space="preserve">1.2. Auxiliar de torneiro </t>
  </si>
  <si>
    <t>Preço por hora de torno</t>
  </si>
  <si>
    <t xml:space="preserve">ITEM 14 - PRESTAÇÃO DE SERVIÇOS DE MÃO DE OBRA DE SOLDA
</t>
  </si>
  <si>
    <t>1.1. Prestador de Serviços de Solda</t>
  </si>
  <si>
    <t>1.2. Auxiliar de Solda</t>
  </si>
  <si>
    <t>Preço por hora de solda</t>
  </si>
  <si>
    <t xml:space="preserve">ITEM 13 - PRESTAÇÃO DE SERVIÇOS DE MÃO DE CHAPEAÇÃO E PINTURA
</t>
  </si>
  <si>
    <t xml:space="preserve">1.1. Prestador de Serviços de Chapeação </t>
  </si>
  <si>
    <t xml:space="preserve">1.2. Auxiliar de chapeação </t>
  </si>
  <si>
    <t>Preço por hora de chapeação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</si>
  <si>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</si>
  <si>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</si>
  <si>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</si>
  <si>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</si>
  <si>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</si>
  <si>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</si>
  <si>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</si>
  <si>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</si>
  <si>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</si>
  <si>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</si>
  <si>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</si>
  <si>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</si>
  <si>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</si>
  <si>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</si>
  <si>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</si>
  <si>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</si>
  <si>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</si>
  <si>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</si>
  <si>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</si>
  <si>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de trabalho 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</si>
  <si>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</si>
  <si>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</si>
  <si>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</si>
  <si>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</si>
  <si>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</si>
  <si>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</si>
  <si>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</si>
  <si>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</si>
  <si>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</si>
  <si>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</si>
  <si>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</si>
  <si>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</si>
  <si>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</si>
  <si>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</si>
  <si>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</si>
  <si>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</si>
  <si>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</si>
  <si>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</si>
  <si>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</si>
  <si>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</si>
  <si>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</si>
  <si>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</si>
  <si>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</si>
  <si>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</si>
  <si>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</si>
  <si>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</si>
  <si>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</si>
  <si>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</si>
  <si>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</si>
  <si>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</si>
  <si>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</si>
  <si>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</si>
  <si>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</si>
  <si>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</si>
  <si>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</si>
  <si>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</si>
  <si>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</si>
  <si>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 xml:space="preserve">CÁLCULO DAS VERBAS INDENIZATÓRIAS DOS EMPREGADOS NO SETOR 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</si>
  <si>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</si>
  <si>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</si>
  <si>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</si>
  <si>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</si>
  <si>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</t>
  </si>
  <si>
    <t>5. Clique em Gerar Relatório</t>
  </si>
  <si>
    <t>6. Preencha as células em amarelo</t>
  </si>
  <si>
    <t>3. CAGED</t>
  </si>
  <si>
    <t xml:space="preserve">Rio Grande do Sul  - 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</si>
  <si>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</si>
  <si>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</si>
  <si>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</si>
  <si>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</si>
  <si>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</si>
  <si>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</si>
  <si>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</si>
  <si>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</si>
  <si>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</si>
  <si>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</si>
  <si>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</si>
  <si>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</si>
  <si>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Estoque recuperado início do Período 01-05-2017</t>
  </si>
  <si>
    <t>Estoque recuperado final do Período 31-05-2018</t>
  </si>
  <si>
    <t>Variação Emprego Absoluta de 01-05-2017 a 31-05-2018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</si>
  <si>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</si>
  <si>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</si>
  <si>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</si>
  <si>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</si>
  <si>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</si>
  <si>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</si>
  <si>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</si>
  <si>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</si>
  <si>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</si>
  <si>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</si>
  <si>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</si>
  <si>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1. Esta planilha é somente um modelo-base e deve ser ajustada conforme cada caso concreto.</t>
  </si>
  <si>
    <t>2. Preencher somente células em amarelo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</si>
  <si>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</si>
  <si>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</si>
  <si>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</si>
  <si>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</si>
  <si>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</si>
  <si>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</si>
  <si>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</si>
  <si>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</si>
  <si>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</si>
  <si>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</si>
  <si>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</si>
  <si>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</si>
  <si>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</si>
  <si>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</si>
  <si>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</si>
  <si>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</si>
  <si>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</si>
  <si>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</si>
  <si>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</si>
  <si>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</si>
  <si>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</si>
  <si>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AC = taxa representativa das despesas de rateio da administração central</t>
  </si>
  <si>
    <t xml:space="preserve">R = taxa representativa de riscos </t>
  </si>
  <si>
    <t xml:space="preserve">S = taxa representativa de seguros </t>
  </si>
  <si>
    <t xml:space="preserve">G = taxa representativa de garantias </t>
  </si>
  <si>
    <t xml:space="preserve">DF = taxa representativa das despesas financeiras </t>
  </si>
  <si>
    <t xml:space="preserve">L = taxa representativa do lucro ou remuneração </t>
  </si>
  <si>
    <t xml:space="preserve">T = taxa representativa da incidência de tributos </t>
  </si>
  <si>
    <t>Tributos – ISS – usado 3% que é do Município de Não-Me-Toque</t>
  </si>
  <si>
    <t>5. Depreciação Referencial TCE/RS (%)</t>
  </si>
  <si>
    <t>Idade do veículo (ano)</t>
  </si>
  <si>
    <t>Depreciação Média</t>
  </si>
  <si>
    <t xml:space="preserve">Prefeitura Municipal de Não Me Toque </t>
  </si>
  <si>
    <t>Planilha com os horário do prestador de serviço</t>
  </si>
  <si>
    <t xml:space="preserve">Periodicidade: Segunda a sexta </t>
  </si>
  <si>
    <t xml:space="preserve">Nr. Func. </t>
  </si>
  <si>
    <t xml:space="preserve">Cargo </t>
  </si>
  <si>
    <t xml:space="preserve">Dias </t>
  </si>
  <si>
    <t xml:space="preserve">Entrada </t>
  </si>
  <si>
    <t>Saída</t>
  </si>
  <si>
    <t>Total Horas</t>
  </si>
  <si>
    <t xml:space="preserve">Diversos </t>
  </si>
  <si>
    <t>Segunda a sexta</t>
  </si>
  <si>
    <t xml:space="preserve">Cargo: Diversos </t>
  </si>
  <si>
    <t>Total de horas por funcionário</t>
  </si>
  <si>
    <t xml:space="preserve">Total de dias por semana 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</si>
  <si>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</si>
  <si>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</si>
  <si>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</si>
  <si>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</si>
  <si>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</si>
  <si>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</si>
  <si>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>Total geral de horas base mês com (DSR)</t>
  </si>
  <si>
    <t xml:space="preserve">Fator de utilização </t>
  </si>
  <si>
    <t xml:space="preserve">PREFEITURA MUNICIPAL DE NÃO-ME-TOQUE - RS </t>
  </si>
  <si>
    <t xml:space="preserve">1) VEÍCULOS E EQUIPAMENTOS NECESSÁRIOS PARA OS SERVIÇOS DE </t>
  </si>
  <si>
    <t xml:space="preserve">INJEÇÃO ELETRÔNICA </t>
  </si>
  <si>
    <t xml:space="preserve">Ordem </t>
  </si>
  <si>
    <t>Descrição do veículos/equipamentos</t>
  </si>
  <si>
    <t>Valor R$</t>
  </si>
  <si>
    <t>Veículo para deslocamento</t>
  </si>
  <si>
    <t xml:space="preserve">Máquina de injeção eletrônica </t>
  </si>
  <si>
    <t xml:space="preserve">Outros equipamentos/instalações </t>
  </si>
  <si>
    <t>Total Geral de Veículos/equipam/instalações</t>
  </si>
  <si>
    <t xml:space="preserve">2) Ferramentas </t>
  </si>
  <si>
    <t xml:space="preserve">Descrição das ferramentas </t>
  </si>
  <si>
    <t xml:space="preserve">Conjunto de chaves/alicates/outros </t>
  </si>
  <si>
    <t xml:space="preserve">Total Geral de ferramentas </t>
  </si>
  <si>
    <t xml:space="preserve">3) Manutenção de equipamentos/ferramentas </t>
  </si>
  <si>
    <t xml:space="preserve">Descrição </t>
  </si>
  <si>
    <t>Valor R$/mensal</t>
  </si>
  <si>
    <t>Manutenção mensal de equipam/ferramentas</t>
  </si>
  <si>
    <t>Total Geral custo de equipam/ferramentas</t>
  </si>
  <si>
    <t>Ar Condicionado</t>
  </si>
  <si>
    <t>Recicladora de ar condicionado</t>
  </si>
  <si>
    <t xml:space="preserve">TORNO MECÂNICO </t>
  </si>
  <si>
    <t>Torno Mecânico</t>
  </si>
  <si>
    <t>SOLDA</t>
  </si>
  <si>
    <t>Aparelho de solda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</si>
</sst>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[$R$-416]\ #,##0.00;[RED]\-[$R$-416]\ #,##0.00"/>
    <numFmt numFmtId="166" formatCode="#,##0.00\ ;&quot; (&quot;#,##0.00\);\-#\ ;@\ "/>
    <numFmt numFmtId="167" formatCode="#,##0.00"/>
    <numFmt numFmtId="168" formatCode="&quot;R$ &quot;#,##0.00"/>
    <numFmt numFmtId="169" formatCode="0%"/>
    <numFmt numFmtId="170" formatCode="0.00%"/>
    <numFmt numFmtId="171" formatCode="&quot;R$ &quot;#,##0.00\ ;&quot;(R$ &quot;#,##0.00\)"/>
    <numFmt numFmtId="172" formatCode="0"/>
    <numFmt numFmtId="173" formatCode="&quot; R$ &quot;#,##0.00\ ;&quot;-R$ &quot;#,##0.00\ ;&quot; R$ -&quot;#\ ;@\ "/>
    <numFmt numFmtId="174" formatCode="#,##0\ ;&quot; (&quot;#,##0\);\-#\ ;@\ "/>
    <numFmt numFmtId="175" formatCode="[$R$-416]\ #,##0.00\ ;\-[$R$-416]\ #,##0.00\ ;[$R$-416]&quot; -&quot;#\ ;@\ "/>
    <numFmt numFmtId="176" formatCode="0.00"/>
    <numFmt numFmtId="177" formatCode="#,##0.0000\ ;&quot; (&quot;#,##0.0000\);\-#\ ;@\ "/>
    <numFmt numFmtId="178" formatCode="_(* #,##0.00_);_(* \(#,##0.00\);_(* \-??_);_(@_)"/>
    <numFmt numFmtId="179" formatCode="_(* #,##0_);_(* \(#,##0\);_(* \-??_);_(@_)"/>
    <numFmt numFmtId="180" formatCode="&quot; R$ &quot;#,##0.00\ ;&quot; R$ -&quot;#,##0.00\ ;&quot; R$ -&quot;#\ ;@\ "/>
    <numFmt numFmtId="181" formatCode="_-&quot;R$ &quot;* #,##0.00_-;&quot;-R$ &quot;* #,##0.00_-;_-&quot;R$ &quot;* \-??_-;_-@_-"/>
    <numFmt numFmtId="182" formatCode="0.0000"/>
    <numFmt numFmtId="183" formatCode="HH:MM"/>
    <numFmt numFmtId="184" formatCode="0.000"/>
    <numFmt numFmtId="185" formatCode="_-* #,##0.00_-;\-* #,##0.00_-;_-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173" fontId="0" fillId="0" borderId="0">
      <alignment/>
      <protection/>
    </xf>
    <xf numFmtId="42" fontId="0" fillId="0" borderId="0" applyFill="0" applyBorder="0" applyAlignment="0" applyProtection="0"/>
    <xf numFmtId="169" fontId="0" fillId="0" borderId="0">
      <alignment/>
      <protection/>
    </xf>
    <xf numFmtId="164" fontId="15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0" fillId="0" borderId="0" applyNumberFormat="0" applyFill="0" applyBorder="0" applyProtection="0">
      <alignment horizontal="center" textRotation="90"/>
    </xf>
    <xf numFmtId="164" fontId="0" fillId="0" borderId="0">
      <alignment/>
      <protection/>
    </xf>
  </cellStyleXfs>
  <cellXfs count="345">
    <xf numFmtId="164" fontId="0" fillId="0" borderId="0" xfId="0" applyAlignment="1">
      <alignment/>
    </xf>
    <xf numFmtId="164" fontId="0" fillId="0" borderId="0" xfId="26" applyFont="1" applyAlignment="1">
      <alignment vertical="center"/>
      <protection/>
    </xf>
    <xf numFmtId="166" fontId="0" fillId="0" borderId="0" xfId="15" applyFont="1" applyFill="1" applyBorder="1" applyAlignment="1" applyProtection="1">
      <alignment vertical="center"/>
      <protection/>
    </xf>
    <xf numFmtId="164" fontId="3" fillId="2" borderId="0" xfId="26" applyFont="1" applyFill="1" applyBorder="1" applyAlignment="1">
      <alignment horizontal="center" vertical="center"/>
      <protection/>
    </xf>
    <xf numFmtId="164" fontId="0" fillId="0" borderId="0" xfId="26" applyAlignment="1">
      <alignment vertical="center"/>
      <protection/>
    </xf>
    <xf numFmtId="164" fontId="4" fillId="3" borderId="1" xfId="26" applyFont="1" applyFill="1" applyBorder="1" applyAlignment="1">
      <alignment horizontal="center" vertical="top" wrapText="1"/>
      <protection/>
    </xf>
    <xf numFmtId="166" fontId="5" fillId="0" borderId="0" xfId="15" applyFont="1" applyFill="1" applyBorder="1" applyAlignment="1" applyProtection="1">
      <alignment vertical="center"/>
      <protection/>
    </xf>
    <xf numFmtId="164" fontId="5" fillId="0" borderId="0" xfId="26" applyFont="1" applyAlignment="1">
      <alignment vertical="center"/>
      <protection/>
    </xf>
    <xf numFmtId="164" fontId="6" fillId="3" borderId="2" xfId="26" applyFont="1" applyFill="1" applyBorder="1" applyAlignment="1">
      <alignment horizontal="center" vertical="center"/>
      <protection/>
    </xf>
    <xf numFmtId="164" fontId="0" fillId="0" borderId="3" xfId="26" applyFill="1" applyBorder="1" applyAlignment="1">
      <alignment vertical="center"/>
      <protection/>
    </xf>
    <xf numFmtId="167" fontId="0" fillId="0" borderId="0" xfId="26" applyNumberFormat="1" applyFill="1" applyBorder="1" applyAlignment="1">
      <alignment vertical="center"/>
      <protection/>
    </xf>
    <xf numFmtId="166" fontId="0" fillId="0" borderId="4" xfId="15" applyFont="1" applyFill="1" applyBorder="1" applyAlignment="1" applyProtection="1">
      <alignment vertical="center"/>
      <protection/>
    </xf>
    <xf numFmtId="166" fontId="7" fillId="3" borderId="5" xfId="15" applyFont="1" applyFill="1" applyBorder="1" applyAlignment="1" applyProtection="1">
      <alignment horizontal="center" vertical="center"/>
      <protection/>
    </xf>
    <xf numFmtId="166" fontId="8" fillId="0" borderId="6" xfId="15" applyFont="1" applyFill="1" applyBorder="1" applyAlignment="1" applyProtection="1">
      <alignment horizontal="center" vertical="center"/>
      <protection/>
    </xf>
    <xf numFmtId="166" fontId="0" fillId="0" borderId="7" xfId="15" applyFont="1" applyFill="1" applyBorder="1" applyAlignment="1" applyProtection="1">
      <alignment vertical="center"/>
      <protection/>
    </xf>
    <xf numFmtId="166" fontId="8" fillId="0" borderId="7" xfId="15" applyFont="1" applyFill="1" applyBorder="1" applyAlignment="1" applyProtection="1">
      <alignment vertical="center"/>
      <protection/>
    </xf>
    <xf numFmtId="166" fontId="8" fillId="0" borderId="8" xfId="15" applyFont="1" applyFill="1" applyBorder="1" applyAlignment="1" applyProtection="1">
      <alignment vertical="center"/>
      <protection/>
    </xf>
    <xf numFmtId="166" fontId="8" fillId="0" borderId="9" xfId="15" applyFont="1" applyFill="1" applyBorder="1" applyAlignment="1" applyProtection="1">
      <alignment horizontal="center" vertical="center"/>
      <protection/>
    </xf>
    <xf numFmtId="166" fontId="8" fillId="0" borderId="10" xfId="15" applyFont="1" applyFill="1" applyBorder="1" applyAlignment="1" applyProtection="1">
      <alignment vertical="center"/>
      <protection/>
    </xf>
    <xf numFmtId="166" fontId="8" fillId="0" borderId="11" xfId="26" applyNumberFormat="1" applyFont="1" applyBorder="1" applyAlignment="1">
      <alignment vertical="center"/>
      <protection/>
    </xf>
    <xf numFmtId="166" fontId="8" fillId="0" borderId="11" xfId="15" applyFont="1" applyFill="1" applyBorder="1" applyAlignment="1" applyProtection="1">
      <alignment vertical="center"/>
      <protection/>
    </xf>
    <xf numFmtId="168" fontId="8" fillId="0" borderId="12" xfId="26" applyNumberFormat="1" applyFont="1" applyBorder="1" applyAlignment="1">
      <alignment horizontal="right" vertical="center"/>
      <protection/>
    </xf>
    <xf numFmtId="170" fontId="8" fillId="0" borderId="13" xfId="19" applyNumberFormat="1" applyFont="1" applyFill="1" applyBorder="1" applyAlignment="1" applyProtection="1">
      <alignment horizontal="center" vertical="center"/>
      <protection/>
    </xf>
    <xf numFmtId="166" fontId="8" fillId="0" borderId="0" xfId="15" applyFont="1" applyFill="1" applyBorder="1" applyAlignment="1" applyProtection="1">
      <alignment vertical="center"/>
      <protection/>
    </xf>
    <xf numFmtId="164" fontId="8" fillId="0" borderId="0" xfId="26" applyFont="1" applyAlignment="1">
      <alignment vertical="center"/>
      <protection/>
    </xf>
    <xf numFmtId="166" fontId="0" fillId="0" borderId="10" xfId="15" applyFont="1" applyFill="1" applyBorder="1" applyAlignment="1" applyProtection="1">
      <alignment vertical="center"/>
      <protection/>
    </xf>
    <xf numFmtId="166" fontId="0" fillId="0" borderId="11" xfId="26" applyNumberFormat="1" applyBorder="1" applyAlignment="1">
      <alignment vertical="center"/>
      <protection/>
    </xf>
    <xf numFmtId="166" fontId="0" fillId="0" borderId="11" xfId="15" applyFont="1" applyFill="1" applyBorder="1" applyAlignment="1" applyProtection="1">
      <alignment vertical="center"/>
      <protection/>
    </xf>
    <xf numFmtId="168" fontId="0" fillId="0" borderId="12" xfId="26" applyNumberFormat="1" applyBorder="1" applyAlignment="1">
      <alignment horizontal="right" vertical="center"/>
      <protection/>
    </xf>
    <xf numFmtId="170" fontId="0" fillId="0" borderId="13" xfId="19" applyNumberFormat="1" applyFont="1" applyFill="1" applyBorder="1" applyAlignment="1" applyProtection="1">
      <alignment horizontal="center" vertical="center"/>
      <protection/>
    </xf>
    <xf numFmtId="166" fontId="8" fillId="0" borderId="10" xfId="15" applyFont="1" applyFill="1" applyBorder="1" applyAlignment="1" applyProtection="1">
      <alignment horizontal="left" vertical="center"/>
      <protection/>
    </xf>
    <xf numFmtId="166" fontId="0" fillId="0" borderId="10" xfId="15" applyFont="1" applyFill="1" applyBorder="1" applyAlignment="1" applyProtection="1">
      <alignment horizontal="left" vertical="center"/>
      <protection/>
    </xf>
    <xf numFmtId="166" fontId="8" fillId="0" borderId="11" xfId="15" applyFont="1" applyFill="1" applyBorder="1" applyAlignment="1" applyProtection="1">
      <alignment horizontal="left" vertical="center"/>
      <protection/>
    </xf>
    <xf numFmtId="168" fontId="0" fillId="0" borderId="12" xfId="26" applyNumberFormat="1" applyFont="1" applyBorder="1" applyAlignment="1">
      <alignment horizontal="right" vertical="center"/>
      <protection/>
    </xf>
    <xf numFmtId="168" fontId="8" fillId="0" borderId="14" xfId="26" applyNumberFormat="1" applyFont="1" applyBorder="1" applyAlignment="1">
      <alignment horizontal="right" vertical="center"/>
      <protection/>
    </xf>
    <xf numFmtId="167" fontId="8" fillId="0" borderId="11" xfId="26" applyNumberFormat="1" applyFont="1" applyBorder="1" applyAlignment="1">
      <alignment horizontal="center" vertical="center"/>
      <protection/>
    </xf>
    <xf numFmtId="168" fontId="8" fillId="0" borderId="15" xfId="26" applyNumberFormat="1" applyFont="1" applyBorder="1" applyAlignment="1">
      <alignment horizontal="right" vertical="center"/>
      <protection/>
    </xf>
    <xf numFmtId="166" fontId="8" fillId="0" borderId="16" xfId="15" applyFont="1" applyFill="1" applyBorder="1" applyAlignment="1" applyProtection="1">
      <alignment horizontal="left" vertical="center"/>
      <protection/>
    </xf>
    <xf numFmtId="167" fontId="8" fillId="0" borderId="17" xfId="26" applyNumberFormat="1" applyFont="1" applyBorder="1" applyAlignment="1">
      <alignment horizontal="center" vertical="center"/>
      <protection/>
    </xf>
    <xf numFmtId="166" fontId="8" fillId="0" borderId="17" xfId="15" applyFont="1" applyFill="1" applyBorder="1" applyAlignment="1" applyProtection="1">
      <alignment vertical="center"/>
      <protection/>
    </xf>
    <xf numFmtId="171" fontId="8" fillId="0" borderId="18" xfId="26" applyNumberFormat="1" applyFont="1" applyBorder="1" applyAlignment="1">
      <alignment vertical="center"/>
      <protection/>
    </xf>
    <xf numFmtId="169" fontId="8" fillId="0" borderId="19" xfId="19" applyFont="1" applyFill="1" applyBorder="1" applyAlignment="1" applyProtection="1">
      <alignment horizontal="center" vertical="center"/>
      <protection/>
    </xf>
    <xf numFmtId="166" fontId="8" fillId="0" borderId="0" xfId="15" applyFont="1" applyFill="1" applyBorder="1" applyAlignment="1" applyProtection="1">
      <alignment horizontal="left" vertical="center"/>
      <protection/>
    </xf>
    <xf numFmtId="167" fontId="8" fillId="0" borderId="0" xfId="26" applyNumberFormat="1" applyFont="1" applyBorder="1" applyAlignment="1">
      <alignment horizontal="center" vertical="center"/>
      <protection/>
    </xf>
    <xf numFmtId="171" fontId="8" fillId="0" borderId="0" xfId="26" applyNumberFormat="1" applyFont="1" applyBorder="1" applyAlignment="1">
      <alignment vertical="center"/>
      <protection/>
    </xf>
    <xf numFmtId="169" fontId="8" fillId="0" borderId="0" xfId="19" applyFont="1" applyFill="1" applyBorder="1" applyAlignment="1" applyProtection="1">
      <alignment horizontal="center" vertical="center"/>
      <protection/>
    </xf>
    <xf numFmtId="166" fontId="8" fillId="0" borderId="20" xfId="15" applyFont="1" applyFill="1" applyBorder="1" applyAlignment="1" applyProtection="1">
      <alignment horizontal="center" vertical="center"/>
      <protection/>
    </xf>
    <xf numFmtId="166" fontId="8" fillId="0" borderId="21" xfId="15" applyFont="1" applyFill="1" applyBorder="1" applyAlignment="1" applyProtection="1">
      <alignment horizontal="center" vertical="center"/>
      <protection/>
    </xf>
    <xf numFmtId="166" fontId="8" fillId="0" borderId="6" xfId="15" applyFont="1" applyFill="1" applyBorder="1" applyAlignment="1" applyProtection="1">
      <alignment vertical="center"/>
      <protection/>
    </xf>
    <xf numFmtId="164" fontId="0" fillId="0" borderId="7" xfId="26" applyBorder="1" applyAlignment="1">
      <alignment vertical="center"/>
      <protection/>
    </xf>
    <xf numFmtId="172" fontId="8" fillId="4" borderId="9" xfId="15" applyNumberFormat="1" applyFont="1" applyFill="1" applyBorder="1" applyAlignment="1" applyProtection="1">
      <alignment horizontal="center" vertical="center"/>
      <protection/>
    </xf>
    <xf numFmtId="166" fontId="0" fillId="0" borderId="22" xfId="15" applyFont="1" applyFill="1" applyBorder="1" applyAlignment="1" applyProtection="1">
      <alignment vertical="center"/>
      <protection/>
    </xf>
    <xf numFmtId="166" fontId="0" fillId="0" borderId="23" xfId="15" applyFont="1" applyFill="1" applyBorder="1" applyAlignment="1" applyProtection="1">
      <alignment vertical="center"/>
      <protection/>
    </xf>
    <xf numFmtId="164" fontId="0" fillId="0" borderId="23" xfId="26" applyBorder="1" applyAlignment="1">
      <alignment vertical="center"/>
      <protection/>
    </xf>
    <xf numFmtId="173" fontId="8" fillId="4" borderId="24" xfId="17" applyFont="1" applyFill="1" applyBorder="1" applyAlignment="1" applyProtection="1">
      <alignment horizontal="center" vertical="center"/>
      <protection/>
    </xf>
    <xf numFmtId="172" fontId="8" fillId="4" borderId="24" xfId="15" applyNumberFormat="1" applyFont="1" applyFill="1" applyBorder="1" applyAlignment="1" applyProtection="1">
      <alignment horizontal="center" vertical="center"/>
      <protection/>
    </xf>
    <xf numFmtId="164" fontId="0" fillId="0" borderId="11" xfId="26" applyBorder="1" applyAlignment="1">
      <alignment vertical="center"/>
      <protection/>
    </xf>
    <xf numFmtId="172" fontId="8" fillId="4" borderId="25" xfId="15" applyNumberFormat="1" applyFont="1" applyFill="1" applyBorder="1" applyAlignment="1" applyProtection="1">
      <alignment horizontal="center" vertical="center"/>
      <protection/>
    </xf>
    <xf numFmtId="173" fontId="8" fillId="4" borderId="25" xfId="17" applyFont="1" applyFill="1" applyBorder="1" applyAlignment="1" applyProtection="1">
      <alignment horizontal="center" vertical="center"/>
      <protection/>
    </xf>
    <xf numFmtId="166" fontId="8" fillId="0" borderId="26" xfId="15" applyFont="1" applyFill="1" applyBorder="1" applyAlignment="1" applyProtection="1">
      <alignment vertical="center"/>
      <protection/>
    </xf>
    <xf numFmtId="167" fontId="8" fillId="0" borderId="27" xfId="26" applyNumberFormat="1" applyFont="1" applyBorder="1" applyAlignment="1">
      <alignment vertical="center"/>
      <protection/>
    </xf>
    <xf numFmtId="164" fontId="0" fillId="0" borderId="27" xfId="26" applyBorder="1" applyAlignment="1">
      <alignment vertical="center"/>
      <protection/>
    </xf>
    <xf numFmtId="172" fontId="8" fillId="0" borderId="28" xfId="15" applyNumberFormat="1" applyFont="1" applyFill="1" applyBorder="1" applyAlignment="1" applyProtection="1">
      <alignment horizontal="center" vertical="center"/>
      <protection/>
    </xf>
    <xf numFmtId="164" fontId="0" fillId="0" borderId="0" xfId="26" applyFont="1" applyBorder="1" applyAlignment="1">
      <alignment vertical="center"/>
      <protection/>
    </xf>
    <xf numFmtId="174" fontId="0" fillId="0" borderId="0" xfId="15" applyNumberFormat="1" applyFont="1" applyFill="1" applyBorder="1" applyAlignment="1" applyProtection="1">
      <alignment horizontal="center" vertical="center"/>
      <protection/>
    </xf>
    <xf numFmtId="166" fontId="8" fillId="0" borderId="16" xfId="15" applyFont="1" applyFill="1" applyBorder="1" applyAlignment="1" applyProtection="1">
      <alignment vertical="center"/>
      <protection/>
    </xf>
    <xf numFmtId="170" fontId="8" fillId="5" borderId="5" xfId="19" applyNumberFormat="1" applyFont="1" applyFill="1" applyBorder="1" applyAlignment="1" applyProtection="1">
      <alignment vertical="center"/>
      <protection/>
    </xf>
    <xf numFmtId="164" fontId="8" fillId="0" borderId="0" xfId="26" applyFont="1" applyBorder="1" applyAlignment="1">
      <alignment vertical="center"/>
      <protection/>
    </xf>
    <xf numFmtId="174" fontId="8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27" xfId="26" applyFont="1" applyBorder="1" applyAlignment="1">
      <alignment horizontal="left" vertical="center"/>
      <protection/>
    </xf>
    <xf numFmtId="164" fontId="9" fillId="6" borderId="20" xfId="26" applyFont="1" applyFill="1" applyBorder="1" applyAlignment="1">
      <alignment horizontal="center" vertical="center"/>
      <protection/>
    </xf>
    <xf numFmtId="164" fontId="9" fillId="6" borderId="29" xfId="26" applyFont="1" applyFill="1" applyBorder="1" applyAlignment="1">
      <alignment horizontal="center" vertical="center"/>
      <protection/>
    </xf>
    <xf numFmtId="166" fontId="9" fillId="6" borderId="29" xfId="15" applyFont="1" applyFill="1" applyBorder="1" applyAlignment="1" applyProtection="1">
      <alignment horizontal="center" vertical="center"/>
      <protection/>
    </xf>
    <xf numFmtId="166" fontId="9" fillId="6" borderId="19" xfId="15" applyFont="1" applyFill="1" applyBorder="1" applyAlignment="1" applyProtection="1">
      <alignment horizontal="center" vertical="center"/>
      <protection/>
    </xf>
    <xf numFmtId="164" fontId="0" fillId="0" borderId="30" xfId="26" applyFont="1" applyBorder="1" applyAlignment="1">
      <alignment vertical="center"/>
      <protection/>
    </xf>
    <xf numFmtId="164" fontId="0" fillId="0" borderId="30" xfId="26" applyFont="1" applyBorder="1" applyAlignment="1">
      <alignment horizontal="center" vertical="center"/>
      <protection/>
    </xf>
    <xf numFmtId="175" fontId="0" fillId="5" borderId="30" xfId="15" applyNumberFormat="1" applyFont="1" applyFill="1" applyBorder="1" applyAlignment="1" applyProtection="1">
      <alignment horizontal="center" vertical="center"/>
      <protection/>
    </xf>
    <xf numFmtId="175" fontId="0" fillId="0" borderId="30" xfId="15" applyNumberFormat="1" applyFont="1" applyFill="1" applyBorder="1" applyAlignment="1" applyProtection="1">
      <alignment horizontal="right" vertical="center"/>
      <protection/>
    </xf>
    <xf numFmtId="164" fontId="0" fillId="0" borderId="12" xfId="26" applyFont="1" applyBorder="1" applyAlignment="1">
      <alignment vertical="center"/>
      <protection/>
    </xf>
    <xf numFmtId="164" fontId="0" fillId="0" borderId="12" xfId="26" applyFont="1" applyBorder="1" applyAlignment="1">
      <alignment horizontal="center" vertical="center"/>
      <protection/>
    </xf>
    <xf numFmtId="172" fontId="0" fillId="5" borderId="12" xfId="26" applyNumberFormat="1" applyFont="1" applyFill="1" applyBorder="1" applyAlignment="1">
      <alignment horizontal="center" vertical="center"/>
      <protection/>
    </xf>
    <xf numFmtId="175" fontId="0" fillId="0" borderId="12" xfId="15" applyNumberFormat="1" applyFont="1" applyFill="1" applyBorder="1" applyAlignment="1" applyProtection="1">
      <alignment horizontal="center" vertical="center"/>
      <protection/>
    </xf>
    <xf numFmtId="175" fontId="0" fillId="0" borderId="12" xfId="15" applyNumberFormat="1" applyFont="1" applyFill="1" applyBorder="1" applyAlignment="1" applyProtection="1">
      <alignment horizontal="right" vertical="center"/>
      <protection/>
    </xf>
    <xf numFmtId="164" fontId="0" fillId="0" borderId="14" xfId="26" applyFont="1" applyBorder="1" applyAlignment="1">
      <alignment vertical="center"/>
      <protection/>
    </xf>
    <xf numFmtId="164" fontId="8" fillId="0" borderId="0" xfId="26" applyFont="1" applyAlignment="1">
      <alignment horizontal="center" vertical="center"/>
      <protection/>
    </xf>
    <xf numFmtId="175" fontId="8" fillId="0" borderId="0" xfId="15" applyNumberFormat="1" applyFont="1" applyFill="1" applyBorder="1" applyAlignment="1" applyProtection="1">
      <alignment horizontal="center" vertical="center"/>
      <protection/>
    </xf>
    <xf numFmtId="175" fontId="8" fillId="0" borderId="14" xfId="15" applyNumberFormat="1" applyFont="1" applyFill="1" applyBorder="1" applyAlignment="1" applyProtection="1">
      <alignment horizontal="right" vertical="center"/>
      <protection/>
    </xf>
    <xf numFmtId="164" fontId="8" fillId="0" borderId="14" xfId="26" applyFont="1" applyBorder="1" applyAlignment="1">
      <alignment vertical="center"/>
      <protection/>
    </xf>
    <xf numFmtId="176" fontId="0" fillId="7" borderId="12" xfId="15" applyNumberFormat="1" applyFont="1" applyFill="1" applyBorder="1" applyAlignment="1" applyProtection="1">
      <alignment horizontal="center" vertical="center"/>
      <protection/>
    </xf>
    <xf numFmtId="176" fontId="0" fillId="0" borderId="0" xfId="26" applyNumberFormat="1" applyFont="1" applyAlignment="1">
      <alignment vertical="center"/>
      <protection/>
    </xf>
    <xf numFmtId="175" fontId="0" fillId="0" borderId="14" xfId="15" applyNumberFormat="1" applyFont="1" applyFill="1" applyBorder="1" applyAlignment="1" applyProtection="1">
      <alignment horizontal="right" vertical="center"/>
      <protection/>
    </xf>
    <xf numFmtId="164" fontId="11" fillId="0" borderId="0" xfId="26" applyFont="1" applyAlignment="1">
      <alignment vertical="center"/>
      <protection/>
    </xf>
    <xf numFmtId="166" fontId="0" fillId="0" borderId="0" xfId="15" applyFont="1" applyFill="1" applyBorder="1" applyAlignment="1" applyProtection="1">
      <alignment horizontal="right" vertical="center"/>
      <protection/>
    </xf>
    <xf numFmtId="166" fontId="0" fillId="0" borderId="0" xfId="15">
      <alignment/>
      <protection/>
    </xf>
    <xf numFmtId="173" fontId="8" fillId="4" borderId="31" xfId="17" applyFont="1" applyFill="1" applyBorder="1" applyAlignment="1" applyProtection="1">
      <alignment horizontal="center" vertical="center"/>
      <protection/>
    </xf>
    <xf numFmtId="164" fontId="11" fillId="0" borderId="0" xfId="0" applyFont="1" applyBorder="1" applyAlignment="1">
      <alignment horizontal="left" wrapText="1"/>
    </xf>
    <xf numFmtId="177" fontId="0" fillId="0" borderId="0" xfId="15" applyNumberFormat="1" applyFont="1" applyFill="1" applyBorder="1" applyAlignment="1" applyProtection="1">
      <alignment vertical="center"/>
      <protection/>
    </xf>
    <xf numFmtId="166" fontId="8" fillId="5" borderId="0" xfId="15" applyFont="1" applyFill="1" applyBorder="1" applyAlignment="1" applyProtection="1">
      <alignment horizontal="center" vertical="center"/>
      <protection/>
    </xf>
    <xf numFmtId="173" fontId="0" fillId="5" borderId="30" xfId="17" applyFont="1" applyFill="1" applyBorder="1" applyAlignment="1" applyProtection="1">
      <alignment horizontal="center" vertical="center"/>
      <protection/>
    </xf>
    <xf numFmtId="173" fontId="0" fillId="0" borderId="30" xfId="17" applyFont="1" applyFill="1" applyBorder="1" applyAlignment="1" applyProtection="1">
      <alignment horizontal="right" vertical="center"/>
      <protection/>
    </xf>
    <xf numFmtId="173" fontId="8" fillId="0" borderId="0" xfId="17" applyFont="1" applyFill="1" applyBorder="1" applyAlignment="1" applyProtection="1">
      <alignment horizontal="center" vertical="center"/>
      <protection/>
    </xf>
    <xf numFmtId="173" fontId="0" fillId="0" borderId="12" xfId="17" applyFont="1" applyFill="1" applyBorder="1" applyAlignment="1" applyProtection="1">
      <alignment horizontal="center" vertical="center"/>
      <protection/>
    </xf>
    <xf numFmtId="173" fontId="0" fillId="0" borderId="12" xfId="17" applyFont="1" applyFill="1" applyBorder="1" applyAlignment="1" applyProtection="1">
      <alignment horizontal="right" vertical="center"/>
      <protection/>
    </xf>
    <xf numFmtId="164" fontId="8" fillId="0" borderId="11" xfId="26" applyFont="1" applyBorder="1" applyAlignment="1">
      <alignment horizontal="center" vertical="center"/>
      <protection/>
    </xf>
    <xf numFmtId="173" fontId="8" fillId="0" borderId="11" xfId="17" applyFont="1" applyFill="1" applyBorder="1" applyAlignment="1" applyProtection="1">
      <alignment horizontal="center" vertical="center"/>
      <protection/>
    </xf>
    <xf numFmtId="164" fontId="11" fillId="0" borderId="32" xfId="26" applyFont="1" applyBorder="1" applyAlignment="1">
      <alignment horizontal="left" vertical="center"/>
      <protection/>
    </xf>
    <xf numFmtId="173" fontId="8" fillId="6" borderId="31" xfId="17" applyFont="1" applyFill="1" applyBorder="1" applyAlignment="1" applyProtection="1">
      <alignment horizontal="center" vertical="center"/>
      <protection/>
    </xf>
    <xf numFmtId="164" fontId="11" fillId="0" borderId="0" xfId="26" applyFont="1" applyBorder="1" applyAlignment="1">
      <alignment horizontal="left" vertical="top" wrapText="1"/>
      <protection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15" applyNumberFormat="1" applyFont="1" applyAlignment="1">
      <alignment vertical="center"/>
      <protection/>
    </xf>
    <xf numFmtId="164" fontId="9" fillId="6" borderId="33" xfId="0" applyFont="1" applyFill="1" applyBorder="1" applyAlignment="1">
      <alignment horizontal="center" vertical="center"/>
    </xf>
    <xf numFmtId="164" fontId="9" fillId="6" borderId="34" xfId="0" applyFont="1" applyFill="1" applyBorder="1" applyAlignment="1">
      <alignment horizontal="center" vertical="center"/>
    </xf>
    <xf numFmtId="178" fontId="9" fillId="6" borderId="34" xfId="15" applyNumberFormat="1" applyFont="1" applyFill="1" applyBorder="1" applyAlignment="1">
      <alignment horizontal="center" vertical="center"/>
      <protection/>
    </xf>
    <xf numFmtId="178" fontId="9" fillId="6" borderId="35" xfId="15" applyNumberFormat="1" applyFont="1" applyFill="1" applyBorder="1" applyAlignment="1">
      <alignment horizontal="center" vertical="center"/>
      <protection/>
    </xf>
    <xf numFmtId="164" fontId="0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79" fontId="0" fillId="0" borderId="12" xfId="15" applyNumberFormat="1" applyFont="1" applyBorder="1" applyAlignment="1">
      <alignment horizontal="center" vertical="center"/>
      <protection/>
    </xf>
    <xf numFmtId="178" fontId="0" fillId="4" borderId="0" xfId="15" applyNumberFormat="1" applyFont="1" applyFill="1" applyAlignment="1">
      <alignment vertical="center"/>
      <protection/>
    </xf>
    <xf numFmtId="178" fontId="0" fillId="0" borderId="12" xfId="15" applyNumberFormat="1" applyFont="1" applyBorder="1" applyAlignment="1">
      <alignment horizontal="center" vertical="center"/>
      <protection/>
    </xf>
    <xf numFmtId="164" fontId="0" fillId="4" borderId="0" xfId="0" applyFont="1" applyFill="1" applyAlignment="1">
      <alignment vertical="center"/>
    </xf>
    <xf numFmtId="179" fontId="0" fillId="0" borderId="12" xfId="15" applyNumberFormat="1" applyFont="1" applyBorder="1" applyAlignment="1">
      <alignment vertical="center"/>
      <protection/>
    </xf>
    <xf numFmtId="178" fontId="0" fillId="0" borderId="30" xfId="15" applyNumberFormat="1" applyFont="1" applyBorder="1" applyAlignment="1">
      <alignment horizontal="center" vertical="center"/>
      <protection/>
    </xf>
    <xf numFmtId="164" fontId="0" fillId="0" borderId="30" xfId="0" applyFont="1" applyBorder="1" applyAlignment="1">
      <alignment vertical="center"/>
    </xf>
    <xf numFmtId="164" fontId="0" fillId="0" borderId="30" xfId="0" applyFont="1" applyBorder="1" applyAlignment="1">
      <alignment horizontal="center" vertical="center"/>
    </xf>
    <xf numFmtId="178" fontId="8" fillId="6" borderId="36" xfId="15" applyNumberFormat="1" applyFont="1" applyFill="1" applyBorder="1" applyAlignment="1">
      <alignment vertical="center"/>
      <protection/>
    </xf>
    <xf numFmtId="175" fontId="0" fillId="0" borderId="0" xfId="26" applyNumberFormat="1" applyFont="1" applyAlignment="1">
      <alignment vertical="center"/>
      <protection/>
    </xf>
    <xf numFmtId="173" fontId="0" fillId="0" borderId="0" xfId="26" applyNumberFormat="1" applyFont="1" applyAlignment="1">
      <alignment vertical="center"/>
      <protection/>
    </xf>
    <xf numFmtId="172" fontId="0" fillId="0" borderId="12" xfId="15" applyNumberFormat="1" applyFont="1" applyFill="1" applyBorder="1" applyAlignment="1" applyProtection="1">
      <alignment horizontal="center" vertical="center"/>
      <protection/>
    </xf>
    <xf numFmtId="173" fontId="0" fillId="4" borderId="12" xfId="17" applyFont="1" applyFill="1" applyBorder="1" applyAlignment="1" applyProtection="1">
      <alignment horizontal="center" vertical="center"/>
      <protection/>
    </xf>
    <xf numFmtId="173" fontId="0" fillId="4" borderId="12" xfId="17" applyFont="1" applyFill="1" applyBorder="1" applyAlignment="1" applyProtection="1">
      <alignment vertical="center"/>
      <protection/>
    </xf>
    <xf numFmtId="164" fontId="11" fillId="0" borderId="32" xfId="26" applyFont="1" applyBorder="1" applyAlignment="1">
      <alignment vertical="center"/>
      <protection/>
    </xf>
    <xf numFmtId="173" fontId="8" fillId="6" borderId="5" xfId="17" applyFont="1" applyFill="1" applyBorder="1" applyAlignment="1" applyProtection="1">
      <alignment vertical="center"/>
      <protection/>
    </xf>
    <xf numFmtId="164" fontId="11" fillId="0" borderId="0" xfId="26" applyFont="1" applyBorder="1" applyAlignment="1">
      <alignment horizontal="left" vertical="center"/>
      <protection/>
    </xf>
    <xf numFmtId="173" fontId="8" fillId="0" borderId="0" xfId="17" applyFont="1" applyFill="1" applyBorder="1" applyAlignment="1" applyProtection="1">
      <alignment vertical="center"/>
      <protection/>
    </xf>
    <xf numFmtId="164" fontId="12" fillId="2" borderId="16" xfId="26" applyFont="1" applyFill="1" applyBorder="1" applyAlignment="1">
      <alignment vertical="center"/>
      <protection/>
    </xf>
    <xf numFmtId="164" fontId="12" fillId="2" borderId="17" xfId="26" applyFont="1" applyFill="1" applyBorder="1" applyAlignment="1">
      <alignment vertical="center"/>
      <protection/>
    </xf>
    <xf numFmtId="166" fontId="12" fillId="2" borderId="17" xfId="15" applyFont="1" applyFill="1" applyBorder="1" applyAlignment="1" applyProtection="1">
      <alignment vertical="center"/>
      <protection/>
    </xf>
    <xf numFmtId="166" fontId="12" fillId="2" borderId="31" xfId="15" applyFont="1" applyFill="1" applyBorder="1" applyAlignment="1" applyProtection="1">
      <alignment vertical="center"/>
      <protection/>
    </xf>
    <xf numFmtId="173" fontId="12" fillId="2" borderId="5" xfId="17" applyFont="1" applyFill="1" applyBorder="1" applyAlignment="1" applyProtection="1">
      <alignment vertical="center"/>
      <protection/>
    </xf>
    <xf numFmtId="180" fontId="0" fillId="0" borderId="0" xfId="26" applyNumberFormat="1" applyFont="1" applyAlignment="1">
      <alignment vertical="center"/>
      <protection/>
    </xf>
    <xf numFmtId="164" fontId="9" fillId="6" borderId="29" xfId="26" applyFont="1" applyFill="1" applyBorder="1" applyAlignment="1">
      <alignment horizontal="center" vertical="center" wrapText="1"/>
      <protection/>
    </xf>
    <xf numFmtId="166" fontId="0" fillId="0" borderId="12" xfId="15" applyFont="1" applyFill="1" applyBorder="1" applyAlignment="1" applyProtection="1">
      <alignment horizontal="center" vertical="center"/>
      <protection/>
    </xf>
    <xf numFmtId="173" fontId="0" fillId="4" borderId="30" xfId="17" applyFont="1" applyFill="1" applyBorder="1" applyAlignment="1" applyProtection="1">
      <alignment horizontal="center" vertical="center"/>
      <protection/>
    </xf>
    <xf numFmtId="173" fontId="0" fillId="0" borderId="30" xfId="17" applyFont="1" applyFill="1" applyBorder="1" applyAlignment="1" applyProtection="1">
      <alignment horizontal="center" vertical="center"/>
      <protection/>
    </xf>
    <xf numFmtId="166" fontId="0" fillId="0" borderId="37" xfId="15" applyFont="1" applyFill="1" applyBorder="1" applyAlignment="1" applyProtection="1">
      <alignment horizontal="center" vertical="center" wrapText="1"/>
      <protection/>
    </xf>
    <xf numFmtId="166" fontId="0" fillId="0" borderId="0" xfId="15" applyFont="1" applyFill="1" applyBorder="1" applyAlignment="1" applyProtection="1">
      <alignment horizontal="center" vertical="center" wrapText="1"/>
      <protection/>
    </xf>
    <xf numFmtId="164" fontId="0" fillId="0" borderId="12" xfId="26" applyFont="1" applyBorder="1" applyAlignment="1">
      <alignment horizontal="left" vertical="center"/>
      <protection/>
    </xf>
    <xf numFmtId="172" fontId="0" fillId="0" borderId="12" xfId="26" applyNumberFormat="1" applyFont="1" applyFill="1" applyBorder="1" applyAlignment="1">
      <alignment horizontal="center" vertical="center"/>
      <protection/>
    </xf>
    <xf numFmtId="177" fontId="0" fillId="0" borderId="12" xfId="15" applyNumberFormat="1" applyFont="1" applyFill="1" applyBorder="1" applyAlignment="1" applyProtection="1">
      <alignment vertical="center"/>
      <protection/>
    </xf>
    <xf numFmtId="164" fontId="13" fillId="2" borderId="17" xfId="26" applyFont="1" applyFill="1" applyBorder="1" applyAlignment="1">
      <alignment vertical="center"/>
      <protection/>
    </xf>
    <xf numFmtId="166" fontId="13" fillId="2" borderId="17" xfId="15" applyFont="1" applyFill="1" applyBorder="1" applyAlignment="1" applyProtection="1">
      <alignment vertical="center"/>
      <protection/>
    </xf>
    <xf numFmtId="166" fontId="13" fillId="2" borderId="31" xfId="15" applyFont="1" applyFill="1" applyBorder="1" applyAlignment="1" applyProtection="1">
      <alignment vertical="center"/>
      <protection/>
    </xf>
    <xf numFmtId="173" fontId="12" fillId="2" borderId="5" xfId="17" applyFont="1" applyFill="1" applyBorder="1" applyAlignment="1" applyProtection="1">
      <alignment horizontal="center" vertical="center"/>
      <protection/>
    </xf>
    <xf numFmtId="164" fontId="9" fillId="6" borderId="38" xfId="26" applyFont="1" applyFill="1" applyBorder="1" applyAlignment="1">
      <alignment horizontal="center" vertical="center"/>
      <protection/>
    </xf>
    <xf numFmtId="164" fontId="0" fillId="0" borderId="39" xfId="26" applyFont="1" applyBorder="1" applyAlignment="1">
      <alignment horizontal="center" vertical="center"/>
      <protection/>
    </xf>
    <xf numFmtId="166" fontId="0" fillId="0" borderId="12" xfId="15" applyFont="1" applyBorder="1">
      <alignment/>
      <protection/>
    </xf>
    <xf numFmtId="173" fontId="8" fillId="0" borderId="12" xfId="17" applyFont="1" applyFill="1" applyBorder="1" applyAlignment="1" applyProtection="1">
      <alignment vertical="center"/>
      <protection/>
    </xf>
    <xf numFmtId="164" fontId="8" fillId="0" borderId="0" xfId="0" applyFont="1" applyAlignment="1">
      <alignment vertical="center"/>
    </xf>
    <xf numFmtId="164" fontId="14" fillId="0" borderId="0" xfId="20" applyNumberFormat="1" applyFont="1" applyFill="1" applyBorder="1" applyAlignment="1" applyProtection="1">
      <alignment vertical="center"/>
      <protection/>
    </xf>
    <xf numFmtId="164" fontId="0" fillId="5" borderId="30" xfId="0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horizontal="center" vertical="center"/>
    </xf>
    <xf numFmtId="181" fontId="0" fillId="4" borderId="30" xfId="17" applyNumberFormat="1" applyFont="1" applyFill="1" applyBorder="1" applyAlignment="1">
      <alignment horizontal="center" vertical="center"/>
      <protection/>
    </xf>
    <xf numFmtId="181" fontId="0" fillId="0" borderId="30" xfId="17" applyNumberFormat="1" applyFont="1" applyBorder="1" applyAlignment="1">
      <alignment horizontal="center" vertical="center"/>
      <protection/>
    </xf>
    <xf numFmtId="164" fontId="0" fillId="4" borderId="12" xfId="0" applyNumberFormat="1" applyFont="1" applyFill="1" applyBorder="1" applyAlignment="1">
      <alignment horizontal="center" vertical="center"/>
    </xf>
    <xf numFmtId="181" fontId="0" fillId="0" borderId="12" xfId="17" applyNumberFormat="1" applyFont="1" applyFill="1" applyBorder="1" applyAlignment="1">
      <alignment horizontal="center" vertical="center"/>
      <protection/>
    </xf>
    <xf numFmtId="181" fontId="0" fillId="0" borderId="12" xfId="17" applyNumberFormat="1" applyFont="1" applyBorder="1" applyAlignment="1">
      <alignment horizontal="center" vertical="center"/>
      <protection/>
    </xf>
    <xf numFmtId="178" fontId="0" fillId="0" borderId="0" xfId="15" applyNumberFormat="1" applyFont="1" applyAlignment="1">
      <alignment horizontal="center" vertical="center"/>
      <protection/>
    </xf>
    <xf numFmtId="176" fontId="0" fillId="7" borderId="12" xfId="15" applyNumberFormat="1" applyFont="1" applyFill="1" applyBorder="1" applyAlignment="1">
      <alignment horizontal="center" vertical="center"/>
      <protection/>
    </xf>
    <xf numFmtId="164" fontId="0" fillId="0" borderId="14" xfId="0" applyFont="1" applyBorder="1" applyAlignment="1">
      <alignment vertical="center"/>
    </xf>
    <xf numFmtId="164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81" fontId="0" fillId="0" borderId="14" xfId="17" applyNumberFormat="1" applyFont="1" applyBorder="1" applyAlignment="1">
      <alignment horizontal="center" vertical="center"/>
      <protection/>
    </xf>
    <xf numFmtId="181" fontId="8" fillId="0" borderId="14" xfId="17" applyNumberFormat="1" applyFont="1" applyBorder="1" applyAlignment="1">
      <alignment horizontal="center" vertical="center"/>
      <protection/>
    </xf>
    <xf numFmtId="164" fontId="0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81" fontId="0" fillId="4" borderId="12" xfId="17" applyNumberFormat="1" applyFont="1" applyFill="1" applyBorder="1" applyAlignment="1">
      <alignment horizontal="center" vertical="center"/>
      <protection/>
    </xf>
    <xf numFmtId="181" fontId="8" fillId="0" borderId="12" xfId="17" applyNumberFormat="1" applyFont="1" applyBorder="1" applyAlignment="1">
      <alignment horizontal="center" vertical="center"/>
      <protection/>
    </xf>
    <xf numFmtId="164" fontId="0" fillId="0" borderId="12" xfId="0" applyNumberFormat="1" applyFont="1" applyFill="1" applyBorder="1" applyAlignment="1">
      <alignment horizontal="center" vertical="center"/>
    </xf>
    <xf numFmtId="164" fontId="8" fillId="0" borderId="12" xfId="0" applyFont="1" applyBorder="1" applyAlignment="1">
      <alignment vertical="center"/>
    </xf>
    <xf numFmtId="164" fontId="8" fillId="0" borderId="12" xfId="0" applyFont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left" vertical="center" wrapText="1"/>
    </xf>
    <xf numFmtId="178" fontId="0" fillId="0" borderId="0" xfId="15" applyNumberFormat="1" applyFont="1" applyAlignment="1">
      <alignment horizontal="right" vertical="center"/>
      <protection/>
    </xf>
    <xf numFmtId="178" fontId="0" fillId="0" borderId="12" xfId="15" applyNumberFormat="1" applyFont="1" applyBorder="1" applyAlignment="1">
      <alignment vertical="center"/>
      <protection/>
    </xf>
    <xf numFmtId="181" fontId="8" fillId="6" borderId="36" xfId="17" applyNumberFormat="1" applyFont="1" applyFill="1" applyBorder="1" applyAlignment="1">
      <alignment horizontal="center" vertical="center"/>
      <protection/>
    </xf>
    <xf numFmtId="164" fontId="8" fillId="0" borderId="40" xfId="0" applyFont="1" applyBorder="1" applyAlignment="1">
      <alignment vertical="center"/>
    </xf>
    <xf numFmtId="164" fontId="0" fillId="0" borderId="41" xfId="0" applyFont="1" applyBorder="1" applyAlignment="1">
      <alignment vertical="center"/>
    </xf>
    <xf numFmtId="178" fontId="0" fillId="0" borderId="41" xfId="15" applyNumberFormat="1" applyFont="1" applyBorder="1" applyAlignment="1">
      <alignment vertical="center"/>
      <protection/>
    </xf>
    <xf numFmtId="178" fontId="0" fillId="0" borderId="42" xfId="15" applyNumberFormat="1" applyFont="1" applyBorder="1" applyAlignment="1">
      <alignment vertical="center"/>
      <protection/>
    </xf>
    <xf numFmtId="166" fontId="8" fillId="0" borderId="0" xfId="15" applyFont="1" applyFill="1" applyBorder="1" applyAlignment="1" applyProtection="1">
      <alignment horizontal="center" vertical="center"/>
      <protection/>
    </xf>
    <xf numFmtId="164" fontId="9" fillId="6" borderId="43" xfId="26" applyFont="1" applyFill="1" applyBorder="1" applyAlignment="1">
      <alignment horizontal="center" vertical="center"/>
      <protection/>
    </xf>
    <xf numFmtId="166" fontId="9" fillId="6" borderId="43" xfId="15" applyFont="1" applyFill="1" applyBorder="1" applyAlignment="1" applyProtection="1">
      <alignment horizontal="center" vertical="center"/>
      <protection/>
    </xf>
    <xf numFmtId="166" fontId="9" fillId="6" borderId="9" xfId="15" applyFont="1" applyFill="1" applyBorder="1" applyAlignment="1" applyProtection="1">
      <alignment horizontal="center" vertical="center"/>
      <protection/>
    </xf>
    <xf numFmtId="164" fontId="0" fillId="5" borderId="12" xfId="26" applyFont="1" applyFill="1" applyBorder="1" applyAlignment="1">
      <alignment horizontal="left" vertical="center"/>
      <protection/>
    </xf>
    <xf numFmtId="164" fontId="0" fillId="5" borderId="12" xfId="26" applyFont="1" applyFill="1" applyBorder="1" applyAlignment="1">
      <alignment horizontal="center" vertical="center"/>
      <protection/>
    </xf>
    <xf numFmtId="170" fontId="0" fillId="5" borderId="12" xfId="26" applyNumberFormat="1" applyFont="1" applyFill="1" applyBorder="1" applyAlignment="1">
      <alignment horizontal="center" vertical="center"/>
      <protection/>
    </xf>
    <xf numFmtId="173" fontId="0" fillId="5" borderId="12" xfId="26" applyNumberFormat="1" applyFont="1" applyFill="1" applyBorder="1" applyAlignment="1">
      <alignment vertical="center"/>
      <protection/>
    </xf>
    <xf numFmtId="173" fontId="0" fillId="5" borderId="0" xfId="17" applyFont="1" applyFill="1" applyBorder="1" applyAlignment="1" applyProtection="1">
      <alignment vertical="center"/>
      <protection/>
    </xf>
    <xf numFmtId="164" fontId="12" fillId="5" borderId="0" xfId="26" applyFont="1" applyFill="1" applyBorder="1" applyAlignment="1">
      <alignment horizontal="left" vertical="center"/>
      <protection/>
    </xf>
    <xf numFmtId="173" fontId="12" fillId="5" borderId="0" xfId="17" applyFont="1" applyFill="1" applyBorder="1" applyAlignment="1" applyProtection="1">
      <alignment horizontal="center" vertical="center"/>
      <protection/>
    </xf>
    <xf numFmtId="164" fontId="12" fillId="2" borderId="5" xfId="26" applyFont="1" applyFill="1" applyBorder="1" applyAlignment="1">
      <alignment horizontal="left" vertical="center"/>
      <protection/>
    </xf>
    <xf numFmtId="164" fontId="8" fillId="0" borderId="16" xfId="26" applyFont="1" applyBorder="1" applyAlignment="1">
      <alignment vertical="center"/>
      <protection/>
    </xf>
    <xf numFmtId="164" fontId="0" fillId="0" borderId="17" xfId="26" applyFont="1" applyBorder="1" applyAlignment="1">
      <alignment vertical="center"/>
      <protection/>
    </xf>
    <xf numFmtId="166" fontId="0" fillId="0" borderId="17" xfId="15" applyFont="1" applyFill="1" applyBorder="1" applyAlignment="1" applyProtection="1">
      <alignment vertical="center"/>
      <protection/>
    </xf>
    <xf numFmtId="166" fontId="0" fillId="0" borderId="31" xfId="15" applyFont="1" applyFill="1" applyBorder="1" applyAlignment="1" applyProtection="1">
      <alignment vertical="center"/>
      <protection/>
    </xf>
    <xf numFmtId="173" fontId="8" fillId="6" borderId="0" xfId="17" applyFont="1" applyFill="1" applyBorder="1" applyAlignment="1" applyProtection="1">
      <alignment vertical="center"/>
      <protection/>
    </xf>
    <xf numFmtId="164" fontId="8" fillId="0" borderId="40" xfId="26" applyFont="1" applyBorder="1" applyAlignment="1">
      <alignment vertical="center"/>
      <protection/>
    </xf>
    <xf numFmtId="164" fontId="0" fillId="0" borderId="41" xfId="26" applyFont="1" applyBorder="1" applyAlignment="1">
      <alignment vertical="center"/>
      <protection/>
    </xf>
    <xf numFmtId="166" fontId="0" fillId="0" borderId="41" xfId="15" applyFont="1" applyFill="1" applyBorder="1" applyAlignment="1" applyProtection="1">
      <alignment vertical="center"/>
      <protection/>
    </xf>
    <xf numFmtId="166" fontId="8" fillId="3" borderId="36" xfId="15" applyFont="1" applyFill="1" applyBorder="1">
      <alignment/>
      <protection/>
    </xf>
    <xf numFmtId="164" fontId="7" fillId="0" borderId="0" xfId="26" applyFont="1" applyBorder="1" applyAlignment="1">
      <alignment vertical="center"/>
      <protection/>
    </xf>
    <xf numFmtId="166" fontId="7" fillId="0" borderId="0" xfId="15" applyFont="1" applyFill="1" applyBorder="1" applyAlignment="1" applyProtection="1">
      <alignment vertical="center"/>
      <protection/>
    </xf>
    <xf numFmtId="169" fontId="0" fillId="0" borderId="0" xfId="19" applyFont="1" applyFill="1" applyBorder="1" applyAlignment="1" applyProtection="1">
      <alignment vertical="center"/>
      <protection/>
    </xf>
    <xf numFmtId="164" fontId="0" fillId="0" borderId="0" xfId="26" applyFont="1">
      <alignment/>
      <protection/>
    </xf>
    <xf numFmtId="167" fontId="0" fillId="0" borderId="0" xfId="26" applyNumberFormat="1" applyFont="1" applyBorder="1" applyAlignment="1">
      <alignment vertical="center"/>
      <protection/>
    </xf>
    <xf numFmtId="164" fontId="4" fillId="3" borderId="44" xfId="26" applyFont="1" applyFill="1" applyBorder="1" applyAlignment="1">
      <alignment horizontal="center" vertical="center"/>
      <protection/>
    </xf>
    <xf numFmtId="164" fontId="4" fillId="0" borderId="0" xfId="26" applyFont="1" applyFill="1" applyAlignment="1">
      <alignment vertical="center"/>
      <protection/>
    </xf>
    <xf numFmtId="164" fontId="17" fillId="0" borderId="45" xfId="26" applyFont="1" applyBorder="1" applyAlignment="1">
      <alignment horizontal="left" vertical="center"/>
      <protection/>
    </xf>
    <xf numFmtId="164" fontId="17" fillId="0" borderId="12" xfId="26" applyFont="1" applyBorder="1" applyAlignment="1">
      <alignment horizontal="left" vertical="center"/>
      <protection/>
    </xf>
    <xf numFmtId="164" fontId="17" fillId="0" borderId="25" xfId="26" applyFont="1" applyBorder="1" applyAlignment="1">
      <alignment horizontal="left" vertical="center"/>
      <protection/>
    </xf>
    <xf numFmtId="164" fontId="5" fillId="0" borderId="12" xfId="26" applyFont="1" applyBorder="1" applyAlignment="1">
      <alignment horizontal="left" vertical="center"/>
      <protection/>
    </xf>
    <xf numFmtId="170" fontId="5" fillId="0" borderId="25" xfId="26" applyNumberFormat="1" applyFont="1" applyBorder="1" applyAlignment="1">
      <alignment horizontal="right" vertical="center"/>
      <protection/>
    </xf>
    <xf numFmtId="164" fontId="0" fillId="0" borderId="0" xfId="26" applyFont="1" applyBorder="1">
      <alignment/>
      <protection/>
    </xf>
    <xf numFmtId="164" fontId="6" fillId="0" borderId="12" xfId="26" applyFont="1" applyBorder="1" applyAlignment="1">
      <alignment horizontal="left" vertical="center"/>
      <protection/>
    </xf>
    <xf numFmtId="170" fontId="6" fillId="0" borderId="25" xfId="26" applyNumberFormat="1" applyFont="1" applyBorder="1" applyAlignment="1">
      <alignment horizontal="right" vertical="center"/>
      <protection/>
    </xf>
    <xf numFmtId="164" fontId="17" fillId="8" borderId="45" xfId="26" applyFont="1" applyFill="1" applyBorder="1" applyAlignment="1">
      <alignment horizontal="left" vertical="center"/>
      <protection/>
    </xf>
    <xf numFmtId="164" fontId="6" fillId="8" borderId="12" xfId="26" applyFont="1" applyFill="1" applyBorder="1" applyAlignment="1">
      <alignment horizontal="left" vertical="center"/>
      <protection/>
    </xf>
    <xf numFmtId="170" fontId="6" fillId="8" borderId="25" xfId="26" applyNumberFormat="1" applyFont="1" applyFill="1" applyBorder="1" applyAlignment="1">
      <alignment horizontal="right" vertical="center"/>
      <protection/>
    </xf>
    <xf numFmtId="170" fontId="0" fillId="0" borderId="0" xfId="26" applyNumberFormat="1" applyFont="1">
      <alignment/>
      <protection/>
    </xf>
    <xf numFmtId="169" fontId="17" fillId="0" borderId="0" xfId="19" applyFont="1" applyFill="1" applyBorder="1" applyAlignment="1" applyProtection="1">
      <alignment horizontal="right" vertical="center"/>
      <protection/>
    </xf>
    <xf numFmtId="170" fontId="0" fillId="0" borderId="0" xfId="26" applyNumberFormat="1" applyFont="1" applyBorder="1">
      <alignment/>
      <protection/>
    </xf>
    <xf numFmtId="164" fontId="5" fillId="0" borderId="12" xfId="26" applyFont="1" applyBorder="1" applyAlignment="1">
      <alignment horizontal="left" vertical="center" wrapText="1"/>
      <protection/>
    </xf>
    <xf numFmtId="164" fontId="18" fillId="0" borderId="12" xfId="26" applyFont="1" applyBorder="1" applyAlignment="1">
      <alignment horizontal="left" vertical="center"/>
      <protection/>
    </xf>
    <xf numFmtId="170" fontId="18" fillId="0" borderId="25" xfId="26" applyNumberFormat="1" applyFont="1" applyBorder="1" applyAlignment="1">
      <alignment horizontal="right" vertical="center"/>
      <protection/>
    </xf>
    <xf numFmtId="164" fontId="17" fillId="9" borderId="46" xfId="26" applyFont="1" applyFill="1" applyBorder="1" applyAlignment="1">
      <alignment horizontal="left" vertical="center"/>
      <protection/>
    </xf>
    <xf numFmtId="164" fontId="18" fillId="9" borderId="15" xfId="26" applyFont="1" applyFill="1" applyBorder="1" applyAlignment="1">
      <alignment horizontal="left" vertical="center"/>
      <protection/>
    </xf>
    <xf numFmtId="170" fontId="18" fillId="9" borderId="47" xfId="26" applyNumberFormat="1" applyFont="1" applyFill="1" applyBorder="1" applyAlignment="1">
      <alignment horizontal="right" vertical="center"/>
      <protection/>
    </xf>
    <xf numFmtId="164" fontId="8" fillId="0" borderId="0" xfId="26" applyFont="1">
      <alignment/>
      <protection/>
    </xf>
    <xf numFmtId="164" fontId="0" fillId="0" borderId="0" xfId="26" applyFont="1" applyBorder="1" applyAlignment="1">
      <alignment horizontal="left" wrapText="1"/>
      <protection/>
    </xf>
    <xf numFmtId="164" fontId="4" fillId="10" borderId="44" xfId="26" applyFont="1" applyFill="1" applyBorder="1" applyAlignment="1">
      <alignment horizontal="center"/>
      <protection/>
    </xf>
    <xf numFmtId="164" fontId="19" fillId="0" borderId="48" xfId="26" applyFont="1" applyBorder="1" applyAlignment="1">
      <alignment horizontal="center"/>
      <protection/>
    </xf>
    <xf numFmtId="164" fontId="18" fillId="0" borderId="49" xfId="26" applyFont="1" applyBorder="1">
      <alignment/>
      <protection/>
    </xf>
    <xf numFmtId="164" fontId="18" fillId="4" borderId="25" xfId="26" applyFont="1" applyFill="1" applyBorder="1">
      <alignment/>
      <protection/>
    </xf>
    <xf numFmtId="164" fontId="18" fillId="0" borderId="45" xfId="26" applyFont="1" applyBorder="1">
      <alignment/>
      <protection/>
    </xf>
    <xf numFmtId="164" fontId="5" fillId="0" borderId="45" xfId="26" applyFont="1" applyBorder="1">
      <alignment/>
      <protection/>
    </xf>
    <xf numFmtId="164" fontId="5" fillId="4" borderId="25" xfId="26" applyFont="1" applyFill="1" applyBorder="1">
      <alignment/>
      <protection/>
    </xf>
    <xf numFmtId="164" fontId="5" fillId="0" borderId="49" xfId="26" applyFont="1" applyBorder="1">
      <alignment/>
      <protection/>
    </xf>
    <xf numFmtId="164" fontId="5" fillId="4" borderId="50" xfId="26" applyFont="1" applyFill="1" applyBorder="1">
      <alignment/>
      <protection/>
    </xf>
    <xf numFmtId="164" fontId="18" fillId="0" borderId="10" xfId="26" applyFont="1" applyBorder="1">
      <alignment/>
      <protection/>
    </xf>
    <xf numFmtId="164" fontId="5" fillId="0" borderId="13" xfId="26" applyFont="1" applyBorder="1">
      <alignment/>
      <protection/>
    </xf>
    <xf numFmtId="164" fontId="5" fillId="0" borderId="51" xfId="26" applyFont="1" applyBorder="1">
      <alignment/>
      <protection/>
    </xf>
    <xf numFmtId="164" fontId="5" fillId="4" borderId="24" xfId="26" applyFont="1" applyFill="1" applyBorder="1">
      <alignment/>
      <protection/>
    </xf>
    <xf numFmtId="164" fontId="5" fillId="0" borderId="3" xfId="26" applyFont="1" applyBorder="1">
      <alignment/>
      <protection/>
    </xf>
    <xf numFmtId="164" fontId="5" fillId="0" borderId="4" xfId="26" applyFont="1" applyBorder="1">
      <alignment/>
      <protection/>
    </xf>
    <xf numFmtId="164" fontId="18" fillId="0" borderId="52" xfId="26" applyFont="1" applyBorder="1">
      <alignment/>
      <protection/>
    </xf>
    <xf numFmtId="182" fontId="18" fillId="0" borderId="50" xfId="26" applyNumberFormat="1" applyFont="1" applyBorder="1">
      <alignment/>
      <protection/>
    </xf>
    <xf numFmtId="164" fontId="18" fillId="0" borderId="53" xfId="26" applyFont="1" applyBorder="1">
      <alignment/>
      <protection/>
    </xf>
    <xf numFmtId="164" fontId="18" fillId="0" borderId="50" xfId="26" applyFont="1" applyBorder="1">
      <alignment/>
      <protection/>
    </xf>
    <xf numFmtId="164" fontId="6" fillId="0" borderId="50" xfId="26" applyFont="1" applyBorder="1">
      <alignment/>
      <protection/>
    </xf>
    <xf numFmtId="169" fontId="6" fillId="0" borderId="50" xfId="26" applyNumberFormat="1" applyFont="1" applyBorder="1">
      <alignment/>
      <protection/>
    </xf>
    <xf numFmtId="182" fontId="6" fillId="0" borderId="50" xfId="26" applyNumberFormat="1" applyFont="1" applyBorder="1">
      <alignment/>
      <protection/>
    </xf>
    <xf numFmtId="164" fontId="18" fillId="0" borderId="25" xfId="26" applyFont="1" applyBorder="1">
      <alignment/>
      <protection/>
    </xf>
    <xf numFmtId="164" fontId="18" fillId="0" borderId="26" xfId="26" applyFont="1" applyBorder="1">
      <alignment/>
      <protection/>
    </xf>
    <xf numFmtId="182" fontId="6" fillId="0" borderId="28" xfId="26" applyNumberFormat="1" applyFont="1" applyBorder="1">
      <alignment/>
      <protection/>
    </xf>
    <xf numFmtId="164" fontId="0" fillId="0" borderId="0" xfId="26">
      <alignment/>
      <protection/>
    </xf>
    <xf numFmtId="164" fontId="0" fillId="0" borderId="0" xfId="26" applyAlignment="1">
      <alignment horizontal="center"/>
      <protection/>
    </xf>
    <xf numFmtId="164" fontId="5" fillId="0" borderId="0" xfId="26" applyFont="1" applyFill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Alignment="1">
      <alignment horizontal="center"/>
      <protection/>
    </xf>
    <xf numFmtId="164" fontId="7" fillId="10" borderId="1" xfId="26" applyFont="1" applyFill="1" applyBorder="1" applyAlignment="1">
      <alignment horizontal="center" vertical="center"/>
      <protection/>
    </xf>
    <xf numFmtId="164" fontId="7" fillId="0" borderId="3" xfId="26" applyFont="1" applyFill="1" applyBorder="1" applyAlignment="1">
      <alignment horizontal="center" vertical="center"/>
      <protection/>
    </xf>
    <xf numFmtId="164" fontId="7" fillId="0" borderId="0" xfId="26" applyFont="1" applyFill="1" applyBorder="1" applyAlignment="1">
      <alignment horizontal="center" vertical="center"/>
      <protection/>
    </xf>
    <xf numFmtId="164" fontId="7" fillId="0" borderId="4" xfId="26" applyFont="1" applyFill="1" applyBorder="1" applyAlignment="1">
      <alignment horizontal="center" vertical="center"/>
      <protection/>
    </xf>
    <xf numFmtId="164" fontId="6" fillId="0" borderId="3" xfId="26" applyFont="1" applyFill="1" applyBorder="1" applyAlignment="1">
      <alignment horizontal="left" vertical="center"/>
      <protection/>
    </xf>
    <xf numFmtId="164" fontId="5" fillId="0" borderId="0" xfId="26" applyFont="1" applyFill="1" applyBorder="1" applyAlignment="1">
      <alignment vertical="center"/>
      <protection/>
    </xf>
    <xf numFmtId="169" fontId="6" fillId="0" borderId="44" xfId="19" applyFont="1" applyFill="1" applyBorder="1" applyAlignment="1" applyProtection="1">
      <alignment horizontal="center"/>
      <protection/>
    </xf>
    <xf numFmtId="164" fontId="5" fillId="0" borderId="0" xfId="26" applyFont="1" applyBorder="1">
      <alignment/>
      <protection/>
    </xf>
    <xf numFmtId="169" fontId="5" fillId="0" borderId="45" xfId="19" applyFont="1" applyFill="1" applyBorder="1" applyAlignment="1" applyProtection="1">
      <alignment/>
      <protection/>
    </xf>
    <xf numFmtId="169" fontId="5" fillId="0" borderId="12" xfId="19" applyFont="1" applyFill="1" applyBorder="1" applyAlignment="1" applyProtection="1">
      <alignment horizontal="center"/>
      <protection/>
    </xf>
    <xf numFmtId="169" fontId="5" fillId="0" borderId="54" xfId="19" applyFont="1" applyBorder="1">
      <alignment/>
      <protection/>
    </xf>
    <xf numFmtId="164" fontId="5" fillId="0" borderId="55" xfId="26" applyFont="1" applyFill="1" applyBorder="1" applyAlignment="1">
      <alignment horizontal="left" vertical="center"/>
      <protection/>
    </xf>
    <xf numFmtId="164" fontId="5" fillId="0" borderId="56" xfId="26" applyFont="1" applyFill="1" applyBorder="1" applyAlignment="1">
      <alignment horizontal="center" vertical="center"/>
      <protection/>
    </xf>
    <xf numFmtId="170" fontId="5" fillId="4" borderId="9" xfId="26" applyNumberFormat="1" applyFont="1" applyFill="1" applyBorder="1" applyAlignment="1">
      <alignment horizontal="center" vertical="center"/>
      <protection/>
    </xf>
    <xf numFmtId="170" fontId="5" fillId="0" borderId="45" xfId="19" applyNumberFormat="1" applyFont="1" applyFill="1" applyBorder="1" applyAlignment="1" applyProtection="1">
      <alignment horizontal="right"/>
      <protection/>
    </xf>
    <xf numFmtId="170" fontId="5" fillId="0" borderId="12" xfId="19" applyNumberFormat="1" applyFont="1" applyFill="1" applyBorder="1" applyAlignment="1" applyProtection="1">
      <alignment horizontal="right"/>
      <protection/>
    </xf>
    <xf numFmtId="170" fontId="5" fillId="0" borderId="54" xfId="19" applyNumberFormat="1" applyFont="1" applyBorder="1" applyAlignment="1">
      <alignment horizontal="right"/>
      <protection/>
    </xf>
    <xf numFmtId="164" fontId="5" fillId="0" borderId="45" xfId="26" applyFont="1" applyFill="1" applyBorder="1" applyAlignment="1">
      <alignment horizontal="left" vertical="center"/>
      <protection/>
    </xf>
    <xf numFmtId="164" fontId="5" fillId="0" borderId="12" xfId="26" applyFont="1" applyFill="1" applyBorder="1" applyAlignment="1">
      <alignment horizontal="center" vertical="center"/>
      <protection/>
    </xf>
    <xf numFmtId="170" fontId="5" fillId="4" borderId="25" xfId="26" applyNumberFormat="1" applyFont="1" applyFill="1" applyBorder="1" applyAlignment="1">
      <alignment horizontal="center" vertical="center"/>
      <protection/>
    </xf>
    <xf numFmtId="170" fontId="5" fillId="4" borderId="12" xfId="19" applyNumberFormat="1" applyFont="1" applyFill="1" applyBorder="1" applyAlignment="1" applyProtection="1">
      <alignment horizontal="center"/>
      <protection/>
    </xf>
    <xf numFmtId="170" fontId="5" fillId="0" borderId="25" xfId="19" applyNumberFormat="1" applyFont="1" applyFill="1" applyBorder="1" applyAlignment="1" applyProtection="1">
      <alignment/>
      <protection/>
    </xf>
    <xf numFmtId="164" fontId="5" fillId="0" borderId="15" xfId="26" applyFont="1" applyFill="1" applyBorder="1" applyAlignment="1">
      <alignment horizontal="center" vertical="center"/>
      <protection/>
    </xf>
    <xf numFmtId="164" fontId="5" fillId="0" borderId="45" xfId="26" applyFont="1" applyBorder="1" applyAlignment="1">
      <alignment horizontal="right"/>
      <protection/>
    </xf>
    <xf numFmtId="170" fontId="5" fillId="4" borderId="12" xfId="26" applyNumberFormat="1" applyFont="1" applyFill="1" applyBorder="1" applyAlignment="1">
      <alignment horizontal="center"/>
      <protection/>
    </xf>
    <xf numFmtId="164" fontId="5" fillId="0" borderId="25" xfId="26" applyFont="1" applyBorder="1">
      <alignment/>
      <protection/>
    </xf>
    <xf numFmtId="164" fontId="5" fillId="0" borderId="46" xfId="26" applyFont="1" applyFill="1" applyBorder="1" applyAlignment="1">
      <alignment horizontal="left" vertical="center"/>
      <protection/>
    </xf>
    <xf numFmtId="170" fontId="5" fillId="4" borderId="47" xfId="26" applyNumberFormat="1" applyFont="1" applyFill="1" applyBorder="1" applyAlignment="1">
      <alignment horizontal="center" vertical="center"/>
      <protection/>
    </xf>
    <xf numFmtId="170" fontId="5" fillId="0" borderId="12" xfId="26" applyNumberFormat="1" applyFont="1" applyBorder="1" applyAlignment="1">
      <alignment horizontal="center"/>
      <protection/>
    </xf>
    <xf numFmtId="164" fontId="5" fillId="0" borderId="57" xfId="26" applyFont="1" applyFill="1" applyBorder="1" applyAlignment="1">
      <alignment vertical="center"/>
      <protection/>
    </xf>
    <xf numFmtId="164" fontId="5" fillId="0" borderId="58" xfId="26" applyFont="1" applyFill="1" applyBorder="1" applyAlignment="1">
      <alignment vertical="center"/>
      <protection/>
    </xf>
    <xf numFmtId="170" fontId="5" fillId="0" borderId="59" xfId="26" applyNumberFormat="1" applyFont="1" applyFill="1" applyBorder="1" applyAlignment="1">
      <alignment vertical="center"/>
      <protection/>
    </xf>
    <xf numFmtId="164" fontId="5" fillId="0" borderId="12" xfId="26" applyFont="1" applyBorder="1" applyAlignment="1">
      <alignment horizontal="center"/>
      <protection/>
    </xf>
    <xf numFmtId="164" fontId="5" fillId="0" borderId="26" xfId="26" applyFont="1" applyFill="1" applyBorder="1" applyAlignment="1">
      <alignment horizontal="left" vertical="center"/>
      <protection/>
    </xf>
    <xf numFmtId="164" fontId="5" fillId="0" borderId="27" xfId="26" applyFont="1" applyFill="1" applyBorder="1" applyAlignment="1">
      <alignment horizontal="left" vertical="center"/>
      <protection/>
    </xf>
    <xf numFmtId="164" fontId="5" fillId="0" borderId="60" xfId="26" applyFont="1" applyFill="1" applyBorder="1" applyAlignment="1">
      <alignment vertical="center"/>
      <protection/>
    </xf>
    <xf numFmtId="164" fontId="6" fillId="8" borderId="16" xfId="26" applyFont="1" applyFill="1" applyBorder="1" applyAlignment="1">
      <alignment vertical="center" wrapText="1"/>
      <protection/>
    </xf>
    <xf numFmtId="164" fontId="5" fillId="8" borderId="17" xfId="26" applyFont="1" applyFill="1" applyBorder="1" applyAlignment="1">
      <alignment vertical="center"/>
      <protection/>
    </xf>
    <xf numFmtId="170" fontId="6" fillId="8" borderId="31" xfId="19" applyNumberFormat="1" applyFont="1" applyFill="1" applyBorder="1" applyAlignment="1" applyProtection="1">
      <alignment horizontal="center" vertical="center" wrapText="1"/>
      <protection/>
    </xf>
    <xf numFmtId="170" fontId="5" fillId="0" borderId="46" xfId="19" applyNumberFormat="1" applyFont="1" applyFill="1" applyBorder="1" applyAlignment="1" applyProtection="1">
      <alignment horizontal="right"/>
      <protection/>
    </xf>
    <xf numFmtId="170" fontId="5" fillId="0" borderId="15" xfId="19" applyNumberFormat="1" applyFont="1" applyFill="1" applyBorder="1" applyAlignment="1" applyProtection="1">
      <alignment horizontal="right"/>
      <protection/>
    </xf>
    <xf numFmtId="170" fontId="5" fillId="0" borderId="47" xfId="19" applyNumberFormat="1" applyFont="1" applyFill="1" applyBorder="1" applyAlignment="1" applyProtection="1">
      <alignment horizontal="right"/>
      <protection/>
    </xf>
    <xf numFmtId="164" fontId="5" fillId="0" borderId="0" xfId="26" applyFont="1" applyBorder="1" applyAlignment="1">
      <alignment horizontal="left"/>
      <protection/>
    </xf>
    <xf numFmtId="164" fontId="5" fillId="0" borderId="0" xfId="26" applyFont="1" applyBorder="1" applyAlignment="1">
      <alignment horizontal="center"/>
      <protection/>
    </xf>
    <xf numFmtId="164" fontId="7" fillId="10" borderId="16" xfId="26" applyFont="1" applyFill="1" applyBorder="1" applyAlignment="1">
      <alignment horizontal="center" vertical="center"/>
      <protection/>
    </xf>
    <xf numFmtId="164" fontId="18" fillId="0" borderId="45" xfId="26" applyFont="1" applyBorder="1" applyAlignment="1">
      <alignment horizontal="center" vertical="center"/>
      <protection/>
    </xf>
    <xf numFmtId="164" fontId="18" fillId="11" borderId="12" xfId="26" applyFont="1" applyFill="1" applyBorder="1" applyAlignment="1">
      <alignment horizontal="center" vertical="center"/>
      <protection/>
    </xf>
    <xf numFmtId="164" fontId="17" fillId="0" borderId="45" xfId="26" applyFont="1" applyBorder="1" applyAlignment="1">
      <alignment horizontal="center" vertical="center"/>
      <protection/>
    </xf>
    <xf numFmtId="176" fontId="17" fillId="11" borderId="12" xfId="26" applyNumberFormat="1" applyFont="1" applyFill="1" applyBorder="1" applyAlignment="1">
      <alignment horizontal="right" vertical="center"/>
      <protection/>
    </xf>
    <xf numFmtId="164" fontId="17" fillId="0" borderId="46" xfId="26" applyFont="1" applyBorder="1" applyAlignment="1">
      <alignment horizontal="center" vertical="center"/>
      <protection/>
    </xf>
    <xf numFmtId="176" fontId="17" fillId="11" borderId="15" xfId="26" applyNumberFormat="1" applyFont="1" applyFill="1" applyBorder="1" applyAlignment="1">
      <alignment horizontal="right" vertical="center"/>
      <protection/>
    </xf>
    <xf numFmtId="164" fontId="20" fillId="0" borderId="0" xfId="22" applyFont="1">
      <alignment/>
      <protection/>
    </xf>
    <xf numFmtId="164" fontId="1" fillId="0" borderId="0" xfId="21">
      <alignment/>
      <protection/>
    </xf>
    <xf numFmtId="164" fontId="21" fillId="0" borderId="0" xfId="21" applyFont="1">
      <alignment/>
      <protection/>
    </xf>
    <xf numFmtId="164" fontId="21" fillId="0" borderId="12" xfId="21" applyFont="1" applyBorder="1">
      <alignment/>
      <protection/>
    </xf>
    <xf numFmtId="164" fontId="21" fillId="0" borderId="12" xfId="21" applyFont="1" applyBorder="1" applyAlignment="1">
      <alignment horizontal="center"/>
      <protection/>
    </xf>
    <xf numFmtId="183" fontId="21" fillId="0" borderId="12" xfId="21" applyNumberFormat="1" applyFont="1" applyBorder="1">
      <alignment/>
      <protection/>
    </xf>
    <xf numFmtId="184" fontId="0" fillId="0" borderId="0" xfId="0" applyNumberFormat="1" applyAlignment="1">
      <alignment/>
    </xf>
    <xf numFmtId="164" fontId="1" fillId="0" borderId="39" xfId="21" applyFont="1" applyBorder="1">
      <alignment/>
      <protection/>
    </xf>
    <xf numFmtId="164" fontId="1" fillId="0" borderId="11" xfId="21" applyBorder="1">
      <alignment/>
      <protection/>
    </xf>
    <xf numFmtId="178" fontId="1" fillId="0" borderId="12" xfId="15" applyNumberFormat="1" applyFont="1" applyBorder="1">
      <alignment/>
      <protection/>
    </xf>
    <xf numFmtId="164" fontId="1" fillId="0" borderId="12" xfId="21" applyBorder="1">
      <alignment/>
      <protection/>
    </xf>
    <xf numFmtId="185" fontId="0" fillId="0" borderId="0" xfId="0" applyNumberFormat="1" applyAlignment="1">
      <alignment/>
    </xf>
    <xf numFmtId="164" fontId="21" fillId="0" borderId="39" xfId="21" applyFont="1" applyBorder="1">
      <alignment/>
      <protection/>
    </xf>
    <xf numFmtId="164" fontId="21" fillId="0" borderId="11" xfId="21" applyFont="1" applyBorder="1">
      <alignment/>
      <protection/>
    </xf>
    <xf numFmtId="178" fontId="21" fillId="0" borderId="12" xfId="15" applyNumberFormat="1" applyFont="1" applyBorder="1">
      <alignment/>
      <protection/>
    </xf>
    <xf numFmtId="170" fontId="21" fillId="0" borderId="12" xfId="19" applyNumberFormat="1" applyFont="1" applyBorder="1">
      <alignment/>
      <protection/>
    </xf>
    <xf numFmtId="164" fontId="8" fillId="0" borderId="0" xfId="0" applyFont="1" applyAlignment="1">
      <alignment/>
    </xf>
    <xf numFmtId="164" fontId="8" fillId="0" borderId="12" xfId="0" applyFon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2" xfId="0" applyFont="1" applyBorder="1" applyAlignment="1">
      <alignment/>
    </xf>
    <xf numFmtId="166" fontId="8" fillId="0" borderId="12" xfId="15" applyFont="1" applyBorder="1">
      <alignment/>
      <protection/>
    </xf>
    <xf numFmtId="166" fontId="0" fillId="0" borderId="0" xfId="15" applyFont="1">
      <alignment/>
      <protection/>
    </xf>
    <xf numFmtId="164" fontId="8" fillId="0" borderId="12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 3" xfId="21"/>
    <cellStyle name="Normal 6" xfId="22"/>
    <cellStyle name="Resultado" xfId="23"/>
    <cellStyle name="Resultado2" xfId="24"/>
    <cellStyle name="Título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DDD9C3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1">
      <pane ySplit="1" topLeftCell="A107" activePane="bottomLeft" state="frozen"/>
      <selection pane="topLeft" activeCell="A1" sqref="A1"/>
      <selection pane="bottomLeft" activeCell="F117" sqref="F117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1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A33</f>
        <v>0</v>
      </c>
      <c r="B8" s="19"/>
      <c r="C8" s="20"/>
      <c r="D8" s="20"/>
      <c r="E8" s="21">
        <f>+F67</f>
        <v>6551.62908</v>
      </c>
      <c r="F8" s="22">
        <f aca="true" t="shared" si="1" ref="F8:F17">E8/$E$18</f>
        <v>0.46671065644438964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F42</f>
        <v>3160.70496</v>
      </c>
      <c r="F9" s="29">
        <f t="shared" si="1"/>
        <v>0.22515540313656437</v>
      </c>
      <c r="G9" s="2"/>
    </row>
    <row r="10" spans="1:7" s="4" customFormat="1" ht="15.75" customHeight="1">
      <c r="A10" s="25">
        <f>A44</f>
        <v>0</v>
      </c>
      <c r="B10" s="26"/>
      <c r="C10" s="27"/>
      <c r="D10" s="27"/>
      <c r="E10" s="28">
        <f>F52</f>
        <v>2714.4633599999997</v>
      </c>
      <c r="F10" s="29">
        <f t="shared" si="1"/>
        <v>0.1933670177555051</v>
      </c>
      <c r="G10" s="2"/>
    </row>
    <row r="11" spans="1:7" s="4" customFormat="1" ht="15.75" customHeight="1">
      <c r="A11" s="25">
        <f>A54</f>
        <v>0</v>
      </c>
      <c r="B11" s="26"/>
      <c r="C11" s="27"/>
      <c r="D11" s="27"/>
      <c r="E11" s="28">
        <f>F60</f>
        <v>84.17256000000002</v>
      </c>
      <c r="F11" s="29">
        <f t="shared" si="1"/>
        <v>0.0059961011608741415</v>
      </c>
      <c r="G11" s="2"/>
    </row>
    <row r="12" spans="1:7" s="4" customFormat="1" ht="15.75" customHeight="1">
      <c r="A12" s="25">
        <f>A62</f>
        <v>0</v>
      </c>
      <c r="B12" s="26"/>
      <c r="C12" s="27"/>
      <c r="D12" s="27"/>
      <c r="E12" s="28">
        <f>F65</f>
        <v>592.2882000000001</v>
      </c>
      <c r="F12" s="29">
        <f t="shared" si="1"/>
        <v>0.04219213439144604</v>
      </c>
      <c r="G12" s="2"/>
    </row>
    <row r="13" spans="1:7" s="24" customFormat="1" ht="15.75" customHeight="1">
      <c r="A13" s="30">
        <f aca="true" t="shared" si="2" ref="A13:A14">A69</f>
        <v>0</v>
      </c>
      <c r="B13" s="30"/>
      <c r="C13" s="30"/>
      <c r="D13" s="20"/>
      <c r="E13" s="21">
        <f>+F81</f>
        <v>166.66666666666666</v>
      </c>
      <c r="F13" s="22">
        <f t="shared" si="1"/>
        <v>0.011872636325650821</v>
      </c>
      <c r="G13" s="23"/>
    </row>
    <row r="14" spans="1:7" s="24" customFormat="1" ht="15.75" customHeight="1">
      <c r="A14" s="31">
        <f t="shared" si="2"/>
        <v>0</v>
      </c>
      <c r="B14" s="32"/>
      <c r="C14" s="32"/>
      <c r="D14" s="20"/>
      <c r="E14" s="33">
        <f>F79</f>
        <v>166.66666666666666</v>
      </c>
      <c r="F14" s="29">
        <f t="shared" si="1"/>
        <v>0.011872636325650821</v>
      </c>
      <c r="G14" s="23"/>
    </row>
    <row r="15" spans="1:7" s="24" customFormat="1" ht="15.75" customHeight="1">
      <c r="A15" s="30">
        <f>A83</f>
        <v>0</v>
      </c>
      <c r="B15" s="32"/>
      <c r="C15" s="32"/>
      <c r="D15" s="20"/>
      <c r="E15" s="34">
        <f>F86</f>
        <v>1856</v>
      </c>
      <c r="F15" s="22">
        <f t="shared" si="1"/>
        <v>0.13221367812244755</v>
      </c>
      <c r="G15" s="23"/>
    </row>
    <row r="16" spans="1:7" s="24" customFormat="1" ht="15.75" customHeight="1">
      <c r="A16" s="30">
        <f>A88</f>
        <v>0</v>
      </c>
      <c r="B16" s="32"/>
      <c r="C16" s="32"/>
      <c r="D16" s="20"/>
      <c r="E16" s="34">
        <f>F101</f>
        <v>2212.458446666667</v>
      </c>
      <c r="F16" s="22">
        <f t="shared" si="1"/>
        <v>0.15760628713732597</v>
      </c>
      <c r="G16" s="23"/>
    </row>
    <row r="17" spans="1:7" s="24" customFormat="1" ht="15.75" customHeight="1">
      <c r="A17" s="30">
        <f>A105</f>
        <v>0</v>
      </c>
      <c r="B17" s="35"/>
      <c r="C17" s="20"/>
      <c r="D17" s="20"/>
      <c r="E17" s="36">
        <f>F109</f>
        <v>3251.127713870667</v>
      </c>
      <c r="F17" s="22">
        <f t="shared" si="1"/>
        <v>0.23159674197018595</v>
      </c>
      <c r="G17" s="23"/>
    </row>
    <row r="18" spans="1:7" s="4" customFormat="1" ht="15.75" customHeight="1">
      <c r="A18" s="37" t="s">
        <v>7</v>
      </c>
      <c r="B18" s="38"/>
      <c r="C18" s="39"/>
      <c r="D18" s="39"/>
      <c r="E18" s="40">
        <f>E8+E13+E17+E15+E16</f>
        <v>14037.881907204</v>
      </c>
      <c r="F18" s="41">
        <f>F8+F13+F17+F15+F16</f>
        <v>0.9999999999999999</v>
      </c>
      <c r="G18" s="2"/>
    </row>
    <row r="19" spans="1:7" s="4" customFormat="1" ht="15.75" customHeight="1">
      <c r="A19" s="42"/>
      <c r="B19" s="43"/>
      <c r="C19" s="23"/>
      <c r="D19" s="23"/>
      <c r="E19" s="44"/>
      <c r="F19" s="45"/>
      <c r="G19" s="2"/>
    </row>
    <row r="20" spans="1:7" s="4" customFormat="1" ht="15" customHeight="1">
      <c r="A20" s="12" t="s">
        <v>8</v>
      </c>
      <c r="B20" s="12"/>
      <c r="C20" s="12"/>
      <c r="D20" s="12"/>
      <c r="E20" s="12"/>
      <c r="F20" s="2"/>
      <c r="G20" s="2"/>
    </row>
    <row r="21" spans="1:7" s="4" customFormat="1" ht="15" customHeight="1">
      <c r="A21" s="46" t="s">
        <v>9</v>
      </c>
      <c r="B21" s="46"/>
      <c r="C21" s="46"/>
      <c r="D21" s="46"/>
      <c r="E21" s="47" t="s">
        <v>10</v>
      </c>
      <c r="F21" s="2"/>
      <c r="G21" s="2"/>
    </row>
    <row r="22" spans="1:7" s="4" customFormat="1" ht="15" customHeight="1">
      <c r="A22" s="48">
        <f>A34</f>
        <v>0</v>
      </c>
      <c r="B22" s="14"/>
      <c r="C22" s="14"/>
      <c r="D22" s="49"/>
      <c r="E22" s="50">
        <v>1</v>
      </c>
      <c r="F22" s="2"/>
      <c r="G22" s="2"/>
    </row>
    <row r="23" spans="1:7" s="4" customFormat="1" ht="15" customHeight="1">
      <c r="A23" s="51" t="s">
        <v>11</v>
      </c>
      <c r="B23" s="52"/>
      <c r="C23" s="52"/>
      <c r="D23" s="53"/>
      <c r="E23" s="54">
        <v>1567.81</v>
      </c>
      <c r="F23" s="2"/>
      <c r="G23" s="2"/>
    </row>
    <row r="24" spans="1:7" s="4" customFormat="1" ht="15" customHeight="1">
      <c r="A24" s="51" t="s">
        <v>12</v>
      </c>
      <c r="B24" s="52"/>
      <c r="C24" s="52"/>
      <c r="D24" s="53"/>
      <c r="E24" s="55">
        <v>20</v>
      </c>
      <c r="F24" s="2"/>
      <c r="G24" s="2"/>
    </row>
    <row r="25" spans="1:6" s="4" customFormat="1" ht="15" customHeight="1">
      <c r="A25" s="51" t="s">
        <v>13</v>
      </c>
      <c r="B25" s="52"/>
      <c r="C25" s="52"/>
      <c r="D25" s="53"/>
      <c r="E25" s="55">
        <v>220</v>
      </c>
      <c r="F25" s="2"/>
    </row>
    <row r="26" spans="1:6" s="4" customFormat="1" ht="15" customHeight="1">
      <c r="A26" s="18">
        <f>+A44</f>
        <v>0</v>
      </c>
      <c r="B26" s="27"/>
      <c r="C26" s="27"/>
      <c r="D26" s="56"/>
      <c r="E26" s="57">
        <v>1</v>
      </c>
      <c r="F26" s="2"/>
    </row>
    <row r="27" spans="1:6" s="4" customFormat="1" ht="15" customHeight="1">
      <c r="A27" s="51" t="s">
        <v>14</v>
      </c>
      <c r="B27" s="27"/>
      <c r="C27" s="27"/>
      <c r="D27" s="56"/>
      <c r="E27" s="58">
        <v>1346.46</v>
      </c>
      <c r="F27" s="2"/>
    </row>
    <row r="28" spans="1:7" s="4" customFormat="1" ht="15" customHeight="1">
      <c r="A28" s="25" t="s">
        <v>15</v>
      </c>
      <c r="B28" s="27"/>
      <c r="C28" s="27"/>
      <c r="D28" s="56"/>
      <c r="E28" s="57">
        <v>220</v>
      </c>
      <c r="F28" s="2"/>
      <c r="G28" s="2"/>
    </row>
    <row r="29" spans="1:7" s="4" customFormat="1" ht="15" customHeight="1">
      <c r="A29" s="59" t="s">
        <v>16</v>
      </c>
      <c r="B29" s="60"/>
      <c r="C29" s="60"/>
      <c r="D29" s="61"/>
      <c r="E29" s="62">
        <f>E22+E26</f>
        <v>2</v>
      </c>
      <c r="F29" s="2"/>
      <c r="G29" s="2"/>
    </row>
    <row r="30" spans="1:7" s="4" customFormat="1" ht="14.25" customHeight="1">
      <c r="A30" s="2"/>
      <c r="B30" s="2"/>
      <c r="C30" s="2"/>
      <c r="D30" s="63"/>
      <c r="E30" s="64"/>
      <c r="F30" s="1"/>
      <c r="G30" s="2"/>
    </row>
    <row r="31" spans="1:7" s="24" customFormat="1" ht="15.75" customHeight="1">
      <c r="A31" s="65" t="s">
        <v>17</v>
      </c>
      <c r="B31" s="66">
        <f>Horários!F17</f>
        <v>1</v>
      </c>
      <c r="C31" s="23"/>
      <c r="D31" s="67"/>
      <c r="E31" s="68"/>
      <c r="G31" s="23"/>
    </row>
    <row r="32" spans="1:7" s="4" customFormat="1" ht="15.75" customHeight="1">
      <c r="A32" s="2"/>
      <c r="B32" s="2"/>
      <c r="C32" s="2"/>
      <c r="D32" s="63"/>
      <c r="E32" s="64"/>
      <c r="F32" s="1"/>
      <c r="G32" s="2"/>
    </row>
    <row r="33" ht="12.75" customHeight="1">
      <c r="A33" s="24" t="s">
        <v>18</v>
      </c>
    </row>
    <row r="34" spans="1:6" ht="13.5" customHeight="1">
      <c r="A34" s="69" t="s">
        <v>19</v>
      </c>
      <c r="B34" s="69"/>
      <c r="C34" s="69"/>
      <c r="D34" s="69"/>
      <c r="E34" s="69"/>
      <c r="F34" s="69"/>
    </row>
    <row r="35" spans="1:6" ht="13.5" customHeight="1">
      <c r="A35" s="70" t="s">
        <v>20</v>
      </c>
      <c r="B35" s="71" t="s">
        <v>21</v>
      </c>
      <c r="C35" s="71" t="s">
        <v>10</v>
      </c>
      <c r="D35" s="72" t="s">
        <v>22</v>
      </c>
      <c r="E35" s="72" t="s">
        <v>23</v>
      </c>
      <c r="F35" s="73" t="s">
        <v>24</v>
      </c>
    </row>
    <row r="36" spans="1:5" ht="12.75" customHeight="1">
      <c r="A36" s="74" t="s">
        <v>11</v>
      </c>
      <c r="B36" s="75" t="s">
        <v>25</v>
      </c>
      <c r="C36" s="75">
        <v>1</v>
      </c>
      <c r="D36" s="76">
        <f>E23</f>
        <v>1567.81</v>
      </c>
      <c r="E36" s="77">
        <f>C36*D36</f>
        <v>1567.81</v>
      </c>
    </row>
    <row r="37" spans="1:8" ht="12.75" customHeight="1">
      <c r="A37" s="78" t="s">
        <v>12</v>
      </c>
      <c r="B37" s="79" t="s">
        <v>6</v>
      </c>
      <c r="C37" s="80">
        <f>E24</f>
        <v>20</v>
      </c>
      <c r="D37" s="81">
        <f>SUM(E36:E36)</f>
        <v>1567.81</v>
      </c>
      <c r="E37" s="82">
        <f>C37*D37/100</f>
        <v>313.56199999999995</v>
      </c>
      <c r="H37" s="74" t="s">
        <v>11</v>
      </c>
    </row>
    <row r="38" spans="1:8" ht="12.75" customHeight="1">
      <c r="A38" s="83" t="s">
        <v>26</v>
      </c>
      <c r="B38" s="84"/>
      <c r="C38" s="84"/>
      <c r="D38" s="85"/>
      <c r="E38" s="86">
        <f>SUM(E36:E37)</f>
        <v>1881.3719999999998</v>
      </c>
      <c r="H38" s="87" t="s">
        <v>26</v>
      </c>
    </row>
    <row r="39" spans="1:9" ht="12.75" customHeight="1">
      <c r="A39" s="78" t="s">
        <v>27</v>
      </c>
      <c r="B39" s="79" t="s">
        <v>6</v>
      </c>
      <c r="C39" s="88">
        <f>'2.Encargos Sociais'!$C$34*100</f>
        <v>68</v>
      </c>
      <c r="D39" s="81">
        <f>E36+E37</f>
        <v>1881.3719999999998</v>
      </c>
      <c r="E39" s="82">
        <f>D39*C39/100</f>
        <v>1279.33296</v>
      </c>
      <c r="H39" s="78" t="s">
        <v>27</v>
      </c>
      <c r="I39" s="89"/>
    </row>
    <row r="40" spans="1:8" ht="12.75" customHeight="1">
      <c r="A40" s="83" t="s">
        <v>28</v>
      </c>
      <c r="B40" s="84"/>
      <c r="C40" s="84"/>
      <c r="D40" s="85"/>
      <c r="E40" s="90">
        <f>E36+E37+E39</f>
        <v>3160.70496</v>
      </c>
      <c r="H40" s="87" t="s">
        <v>29</v>
      </c>
    </row>
    <row r="41" spans="1:8" ht="13.5" customHeight="1">
      <c r="A41" s="78" t="s">
        <v>30</v>
      </c>
      <c r="B41" s="79" t="s">
        <v>31</v>
      </c>
      <c r="C41" s="80">
        <f>E22</f>
        <v>1</v>
      </c>
      <c r="D41" s="81">
        <f>E40</f>
        <v>3160.70496</v>
      </c>
      <c r="E41" s="82">
        <f>C41*D41</f>
        <v>3160.70496</v>
      </c>
      <c r="H41" s="78" t="s">
        <v>30</v>
      </c>
    </row>
    <row r="42" spans="1:6" ht="13.5" customHeight="1">
      <c r="A42" s="91" t="s">
        <v>32</v>
      </c>
      <c r="D42" s="92" t="s">
        <v>33</v>
      </c>
      <c r="E42" s="93">
        <f>$B$31</f>
        <v>1</v>
      </c>
      <c r="F42" s="94">
        <f>(((E36+E39)*E42)+E37)*C41</f>
        <v>3160.70496</v>
      </c>
    </row>
    <row r="43" spans="1:9" ht="13.5" customHeight="1">
      <c r="A43" s="95"/>
      <c r="B43" s="95"/>
      <c r="C43" s="95"/>
      <c r="D43" s="95"/>
      <c r="E43" s="96"/>
      <c r="F43" s="97"/>
      <c r="I43" s="89"/>
    </row>
    <row r="44" ht="13.5" customHeight="1">
      <c r="A44" s="1" t="s">
        <v>34</v>
      </c>
    </row>
    <row r="45" spans="1:7" s="91" customFormat="1" ht="12.75" customHeight="1">
      <c r="A45" s="70" t="s">
        <v>20</v>
      </c>
      <c r="B45" s="71" t="s">
        <v>21</v>
      </c>
      <c r="C45" s="71" t="s">
        <v>10</v>
      </c>
      <c r="D45" s="72" t="s">
        <v>22</v>
      </c>
      <c r="E45" s="72" t="s">
        <v>23</v>
      </c>
      <c r="F45" s="73" t="s">
        <v>24</v>
      </c>
      <c r="G45" s="2"/>
    </row>
    <row r="46" spans="1:5" ht="13.5" customHeight="1">
      <c r="A46" s="74" t="s">
        <v>11</v>
      </c>
      <c r="B46" s="75" t="s">
        <v>25</v>
      </c>
      <c r="C46" s="75">
        <v>1</v>
      </c>
      <c r="D46" s="98">
        <f>E27</f>
        <v>1346.46</v>
      </c>
      <c r="E46" s="99">
        <f>C46*D46</f>
        <v>1346.46</v>
      </c>
    </row>
    <row r="47" spans="1:5" ht="12.75" customHeight="1">
      <c r="A47" s="78" t="s">
        <v>12</v>
      </c>
      <c r="B47" s="79" t="s">
        <v>6</v>
      </c>
      <c r="C47" s="80">
        <f>C37</f>
        <v>20</v>
      </c>
      <c r="D47" s="81">
        <f>SUM(E46:E46)</f>
        <v>1346.46</v>
      </c>
      <c r="E47" s="82">
        <f>C47*D47/100</f>
        <v>269.29200000000003</v>
      </c>
    </row>
    <row r="48" spans="1:7" s="24" customFormat="1" ht="12.75" customHeight="1">
      <c r="A48" s="78" t="s">
        <v>26</v>
      </c>
      <c r="B48" s="84"/>
      <c r="C48" s="84"/>
      <c r="D48" s="100"/>
      <c r="E48" s="86">
        <f>SUM(E46:E47)</f>
        <v>1615.752</v>
      </c>
      <c r="F48" s="23"/>
      <c r="G48" s="23"/>
    </row>
    <row r="49" spans="1:5" ht="12.75" customHeight="1">
      <c r="A49" s="78" t="s">
        <v>27</v>
      </c>
      <c r="B49" s="79" t="s">
        <v>6</v>
      </c>
      <c r="C49" s="88">
        <f>'2.Encargos Sociais'!$C$34*100</f>
        <v>68</v>
      </c>
      <c r="D49" s="101">
        <f>E48</f>
        <v>1615.752</v>
      </c>
      <c r="E49" s="102">
        <f>D49*C49/100</f>
        <v>1098.71136</v>
      </c>
    </row>
    <row r="50" spans="1:7" s="24" customFormat="1" ht="12.75" customHeight="1">
      <c r="A50" s="78" t="s">
        <v>29</v>
      </c>
      <c r="B50" s="103"/>
      <c r="C50" s="103"/>
      <c r="D50" s="104"/>
      <c r="E50" s="102">
        <f>E48+E49</f>
        <v>2714.4633599999997</v>
      </c>
      <c r="F50" s="23"/>
      <c r="G50" s="23"/>
    </row>
    <row r="51" spans="1:5" ht="13.5" customHeight="1">
      <c r="A51" s="78" t="s">
        <v>30</v>
      </c>
      <c r="B51" s="79" t="s">
        <v>31</v>
      </c>
      <c r="C51" s="80">
        <v>1</v>
      </c>
      <c r="D51" s="101">
        <f>E50</f>
        <v>2714.4633599999997</v>
      </c>
      <c r="E51" s="102">
        <f>C51*D51</f>
        <v>2714.4633599999997</v>
      </c>
    </row>
    <row r="52" spans="1:6" ht="14.25" customHeight="1">
      <c r="A52" s="105" t="s">
        <v>32</v>
      </c>
      <c r="B52" s="105"/>
      <c r="C52" s="105"/>
      <c r="D52" s="92" t="s">
        <v>33</v>
      </c>
      <c r="E52" s="93">
        <f>$B$31</f>
        <v>1</v>
      </c>
      <c r="F52" s="106">
        <f>E51*E52</f>
        <v>2714.4633599999997</v>
      </c>
    </row>
    <row r="53" spans="1:6" ht="12.75" customHeight="1">
      <c r="A53" s="107"/>
      <c r="B53" s="107"/>
      <c r="C53" s="107"/>
      <c r="D53" s="107"/>
      <c r="E53" s="96"/>
      <c r="F53" s="97"/>
    </row>
    <row r="54" spans="1:6" ht="12.75" customHeight="1">
      <c r="A54" s="108" t="s">
        <v>35</v>
      </c>
      <c r="B54" s="109"/>
      <c r="C54" s="108"/>
      <c r="D54" s="108"/>
      <c r="E54" s="110"/>
      <c r="F54" s="111"/>
    </row>
    <row r="55" spans="1:6" ht="12.75" customHeight="1">
      <c r="A55" s="112" t="s">
        <v>20</v>
      </c>
      <c r="B55" s="113" t="s">
        <v>21</v>
      </c>
      <c r="C55" s="113" t="s">
        <v>10</v>
      </c>
      <c r="D55" s="114" t="s">
        <v>22</v>
      </c>
      <c r="E55" s="114" t="s">
        <v>23</v>
      </c>
      <c r="F55" s="115" t="s">
        <v>24</v>
      </c>
    </row>
    <row r="56" spans="1:6" ht="12.75" customHeight="1">
      <c r="A56" s="116" t="s">
        <v>36</v>
      </c>
      <c r="B56" s="117" t="s">
        <v>37</v>
      </c>
      <c r="C56" s="118">
        <v>1</v>
      </c>
      <c r="D56" s="119">
        <v>3.5</v>
      </c>
      <c r="E56" s="120"/>
      <c r="F56" s="111"/>
    </row>
    <row r="57" spans="1:6" ht="12.75" customHeight="1">
      <c r="A57" s="116" t="s">
        <v>38</v>
      </c>
      <c r="B57" s="117" t="s">
        <v>39</v>
      </c>
      <c r="C57" s="121">
        <v>21</v>
      </c>
      <c r="D57" s="120"/>
      <c r="E57" s="120"/>
      <c r="F57" s="111"/>
    </row>
    <row r="58" spans="1:6" ht="12.75" customHeight="1">
      <c r="A58" s="116" t="s">
        <v>40</v>
      </c>
      <c r="B58" s="117" t="s">
        <v>41</v>
      </c>
      <c r="C58" s="122">
        <f>C41*2*(C57)</f>
        <v>42</v>
      </c>
      <c r="D58" s="123">
        <f>$D$56-((E38*0.06)/C58)</f>
        <v>0.8123257142857145</v>
      </c>
      <c r="E58" s="120">
        <f aca="true" t="shared" si="3" ref="E58:E59">_xlfn.IFERROR(C58*D58,"-")</f>
        <v>34.11768000000001</v>
      </c>
      <c r="F58" s="111"/>
    </row>
    <row r="59" spans="1:6" ht="12.75" customHeight="1">
      <c r="A59" s="124" t="s">
        <v>42</v>
      </c>
      <c r="B59" s="125" t="s">
        <v>41</v>
      </c>
      <c r="C59" s="122">
        <f>C51*2*(C57)</f>
        <v>42</v>
      </c>
      <c r="D59" s="123">
        <f>$D$56-((E48*0.06)/C59)</f>
        <v>1.1917828571428575</v>
      </c>
      <c r="E59" s="123">
        <f t="shared" si="3"/>
        <v>50.05488000000001</v>
      </c>
      <c r="F59" s="111"/>
    </row>
    <row r="60" spans="1:6" ht="12.75" customHeight="1">
      <c r="A60" s="108"/>
      <c r="B60" s="108"/>
      <c r="C60" s="108"/>
      <c r="D60" s="111"/>
      <c r="E60" s="111"/>
      <c r="F60" s="126">
        <f>SUM(E58:E59)</f>
        <v>84.17256000000002</v>
      </c>
    </row>
    <row r="61" spans="1:6" ht="12.75" customHeight="1">
      <c r="A61" s="107"/>
      <c r="B61" s="107"/>
      <c r="C61" s="107"/>
      <c r="D61" s="107"/>
      <c r="E61" s="96"/>
      <c r="F61" s="97"/>
    </row>
    <row r="62" spans="1:9" ht="13.5" customHeight="1">
      <c r="A62" s="1" t="s">
        <v>43</v>
      </c>
      <c r="F62" s="23"/>
      <c r="I62" s="127"/>
    </row>
    <row r="63" spans="1:11" ht="14.25" customHeight="1">
      <c r="A63" s="70" t="s">
        <v>20</v>
      </c>
      <c r="B63" s="71" t="s">
        <v>21</v>
      </c>
      <c r="C63" s="71" t="s">
        <v>10</v>
      </c>
      <c r="D63" s="72" t="s">
        <v>22</v>
      </c>
      <c r="E63" s="72" t="s">
        <v>23</v>
      </c>
      <c r="F63" s="73" t="s">
        <v>24</v>
      </c>
      <c r="K63" s="128"/>
    </row>
    <row r="64" spans="1:9" ht="14.25" customHeight="1">
      <c r="A64" s="78" t="s">
        <v>44</v>
      </c>
      <c r="B64" s="79" t="s">
        <v>45</v>
      </c>
      <c r="C64" s="129">
        <f>2*21</f>
        <v>42</v>
      </c>
      <c r="D64" s="130">
        <f>17.41*0.81</f>
        <v>14.102100000000002</v>
      </c>
      <c r="E64" s="131">
        <f>C64*D64</f>
        <v>592.2882000000001</v>
      </c>
      <c r="F64" s="23"/>
      <c r="I64" s="127"/>
    </row>
    <row r="65" spans="1:6" s="1" customFormat="1" ht="14.25" customHeight="1">
      <c r="A65" s="132" t="s">
        <v>46</v>
      </c>
      <c r="B65" s="132"/>
      <c r="D65" s="92" t="s">
        <v>33</v>
      </c>
      <c r="E65" s="93">
        <f>E42</f>
        <v>1</v>
      </c>
      <c r="F65" s="133">
        <f>SUM(E64:E64)*E65</f>
        <v>592.2882000000001</v>
      </c>
    </row>
    <row r="66" spans="1:7" ht="14.25" customHeight="1">
      <c r="A66" s="134"/>
      <c r="B66" s="134"/>
      <c r="D66" s="92"/>
      <c r="F66" s="135"/>
      <c r="G66" s="1"/>
    </row>
    <row r="67" spans="1:8" s="1" customFormat="1" ht="14.25" customHeight="1">
      <c r="A67" s="136" t="s">
        <v>47</v>
      </c>
      <c r="B67" s="137"/>
      <c r="C67" s="137"/>
      <c r="D67" s="138"/>
      <c r="E67" s="139"/>
      <c r="F67" s="140">
        <f>F65+F42+F52+F60</f>
        <v>6551.62908</v>
      </c>
      <c r="H67" s="141"/>
    </row>
    <row r="68" ht="15" customHeight="1"/>
    <row r="69" spans="1:7" ht="12.75" customHeight="1">
      <c r="A69" s="24" t="s">
        <v>48</v>
      </c>
      <c r="G69" s="1"/>
    </row>
    <row r="70" spans="1:7" ht="13.5" customHeight="1">
      <c r="A70" s="1" t="s">
        <v>49</v>
      </c>
      <c r="G70" s="1"/>
    </row>
    <row r="71" spans="1:6" s="1" customFormat="1" ht="27.75" customHeight="1">
      <c r="A71" s="70" t="s">
        <v>20</v>
      </c>
      <c r="B71" s="71" t="s">
        <v>21</v>
      </c>
      <c r="C71" s="142" t="s">
        <v>50</v>
      </c>
      <c r="D71" s="72" t="s">
        <v>22</v>
      </c>
      <c r="E71" s="72" t="s">
        <v>23</v>
      </c>
      <c r="F71" s="73" t="s">
        <v>24</v>
      </c>
    </row>
    <row r="72" spans="1:7" ht="12.75" customHeight="1">
      <c r="A72" s="78" t="s">
        <v>51</v>
      </c>
      <c r="B72" s="79" t="s">
        <v>45</v>
      </c>
      <c r="C72" s="143">
        <v>3</v>
      </c>
      <c r="D72" s="144">
        <v>55</v>
      </c>
      <c r="E72" s="145">
        <f aca="true" t="shared" si="4" ref="E72:E77">_xlfn.IFERROR(D72/C72,0)</f>
        <v>18.333333333333332</v>
      </c>
      <c r="G72" s="1"/>
    </row>
    <row r="73" spans="1:7" ht="12.75" customHeight="1">
      <c r="A73" s="78" t="s">
        <v>52</v>
      </c>
      <c r="B73" s="79" t="s">
        <v>45</v>
      </c>
      <c r="C73" s="143">
        <v>3</v>
      </c>
      <c r="D73" s="144">
        <v>40</v>
      </c>
      <c r="E73" s="145">
        <f t="shared" si="4"/>
        <v>13.333333333333334</v>
      </c>
      <c r="G73" s="1"/>
    </row>
    <row r="74" spans="1:7" ht="12.75" customHeight="1">
      <c r="A74" s="78" t="s">
        <v>53</v>
      </c>
      <c r="B74" s="79" t="s">
        <v>45</v>
      </c>
      <c r="C74" s="143">
        <v>3</v>
      </c>
      <c r="D74" s="144">
        <v>40</v>
      </c>
      <c r="E74" s="145">
        <f t="shared" si="4"/>
        <v>13.333333333333334</v>
      </c>
      <c r="G74" s="1"/>
    </row>
    <row r="75" spans="1:7" ht="13.5" customHeight="1">
      <c r="A75" s="78" t="s">
        <v>54</v>
      </c>
      <c r="B75" s="79" t="s">
        <v>55</v>
      </c>
      <c r="C75" s="143">
        <v>6</v>
      </c>
      <c r="D75" s="144">
        <v>50</v>
      </c>
      <c r="E75" s="145">
        <f t="shared" si="4"/>
        <v>8.333333333333334</v>
      </c>
      <c r="G75" s="1"/>
    </row>
    <row r="76" spans="1:7" ht="12.75" customHeight="1">
      <c r="A76" s="78" t="s">
        <v>56</v>
      </c>
      <c r="B76" s="79" t="s">
        <v>55</v>
      </c>
      <c r="C76" s="143">
        <v>0.05</v>
      </c>
      <c r="D76" s="144">
        <v>1</v>
      </c>
      <c r="E76" s="145">
        <f t="shared" si="4"/>
        <v>20</v>
      </c>
      <c r="F76" s="146"/>
      <c r="G76" s="146"/>
    </row>
    <row r="77" spans="1:7" ht="12.75" customHeight="1">
      <c r="A77" s="78" t="s">
        <v>57</v>
      </c>
      <c r="B77" s="79" t="s">
        <v>45</v>
      </c>
      <c r="C77" s="143">
        <v>6</v>
      </c>
      <c r="D77" s="144">
        <v>60</v>
      </c>
      <c r="E77" s="145">
        <f t="shared" si="4"/>
        <v>10</v>
      </c>
      <c r="F77" s="147"/>
      <c r="G77" s="147"/>
    </row>
    <row r="78" spans="1:5" ht="13.5" customHeight="1">
      <c r="A78" s="148" t="s">
        <v>58</v>
      </c>
      <c r="B78" s="148"/>
      <c r="C78" s="149">
        <f>C41+C51</f>
        <v>2</v>
      </c>
      <c r="D78" s="101">
        <f>+SUM(E72:E77)</f>
        <v>83.33333333333333</v>
      </c>
      <c r="E78" s="101">
        <f>C78*D78</f>
        <v>166.66666666666666</v>
      </c>
    </row>
    <row r="79" spans="4:6" ht="14.25" customHeight="1">
      <c r="D79" s="92" t="s">
        <v>33</v>
      </c>
      <c r="E79" s="150">
        <f>$B$31</f>
        <v>1</v>
      </c>
      <c r="F79" s="106">
        <f>E78*E79</f>
        <v>166.66666666666666</v>
      </c>
    </row>
    <row r="80" ht="11.25" customHeight="1">
      <c r="G80" s="1"/>
    </row>
    <row r="81" spans="1:6" s="1" customFormat="1" ht="14.25" customHeight="1">
      <c r="A81" s="136" t="s">
        <v>59</v>
      </c>
      <c r="B81" s="151"/>
      <c r="C81" s="151"/>
      <c r="D81" s="152"/>
      <c r="E81" s="153"/>
      <c r="F81" s="154">
        <f>+F79</f>
        <v>166.66666666666666</v>
      </c>
    </row>
    <row r="82" ht="11.25" customHeight="1">
      <c r="G82" s="1"/>
    </row>
    <row r="83" spans="1:7" ht="13.5" customHeight="1">
      <c r="A83" s="24" t="s">
        <v>60</v>
      </c>
      <c r="B83" s="134"/>
      <c r="D83" s="92"/>
      <c r="F83" s="135"/>
      <c r="G83" s="1"/>
    </row>
    <row r="84" spans="1:6" s="1" customFormat="1" ht="13.5" customHeight="1">
      <c r="A84" s="155" t="s">
        <v>20</v>
      </c>
      <c r="B84" s="155" t="s">
        <v>21</v>
      </c>
      <c r="C84" s="155" t="s">
        <v>10</v>
      </c>
      <c r="D84" s="155" t="s">
        <v>22</v>
      </c>
      <c r="E84" s="155" t="s">
        <v>23</v>
      </c>
      <c r="F84" s="155" t="s">
        <v>61</v>
      </c>
    </row>
    <row r="85" spans="1:6" s="1" customFormat="1" ht="12.75" customHeight="1">
      <c r="A85" s="78" t="s">
        <v>62</v>
      </c>
      <c r="B85" s="156" t="s">
        <v>63</v>
      </c>
      <c r="C85" s="157">
        <f>58*16</f>
        <v>928</v>
      </c>
      <c r="D85" s="130">
        <v>2</v>
      </c>
      <c r="E85" s="131">
        <f>C85*D85</f>
        <v>1856</v>
      </c>
      <c r="F85" s="158"/>
    </row>
    <row r="86" spans="1:6" s="1" customFormat="1" ht="11.25" customHeight="1">
      <c r="A86" s="134"/>
      <c r="B86" s="134"/>
      <c r="D86" s="92" t="s">
        <v>33</v>
      </c>
      <c r="E86" s="150">
        <v>1</v>
      </c>
      <c r="F86" s="158">
        <f>E85</f>
        <v>1856</v>
      </c>
    </row>
    <row r="87" spans="1:6" s="1" customFormat="1" ht="11.25" customHeight="1">
      <c r="A87" s="134"/>
      <c r="B87" s="134"/>
      <c r="D87" s="92"/>
      <c r="E87" s="96"/>
      <c r="F87" s="135"/>
    </row>
    <row r="88" spans="1:6" s="1" customFormat="1" ht="11.25" customHeight="1">
      <c r="A88" s="159" t="s">
        <v>64</v>
      </c>
      <c r="B88" s="108"/>
      <c r="C88" s="108"/>
      <c r="D88" s="111"/>
      <c r="E88" s="111"/>
      <c r="F88" s="111"/>
    </row>
    <row r="89" spans="1:6" s="1" customFormat="1" ht="11.25" customHeight="1">
      <c r="A89" s="160" t="s">
        <v>65</v>
      </c>
      <c r="B89" s="108"/>
      <c r="C89" s="108"/>
      <c r="D89" s="111"/>
      <c r="E89" s="111"/>
      <c r="F89" s="111"/>
    </row>
    <row r="90" spans="1:6" s="1" customFormat="1" ht="11.25" customHeight="1">
      <c r="A90" s="112" t="s">
        <v>20</v>
      </c>
      <c r="B90" s="113" t="s">
        <v>21</v>
      </c>
      <c r="C90" s="113" t="s">
        <v>10</v>
      </c>
      <c r="D90" s="114" t="s">
        <v>22</v>
      </c>
      <c r="E90" s="114" t="s">
        <v>23</v>
      </c>
      <c r="F90" s="115" t="s">
        <v>24</v>
      </c>
    </row>
    <row r="91" spans="1:6" s="1" customFormat="1" ht="11.25" customHeight="1">
      <c r="A91" s="161" t="s">
        <v>66</v>
      </c>
      <c r="B91" s="125" t="s">
        <v>45</v>
      </c>
      <c r="C91" s="162">
        <v>1</v>
      </c>
      <c r="D91" s="163">
        <f>'Veículos Equip. Injeção'!C10+'Veículos Equip. Injeção'!C14</f>
        <v>278452</v>
      </c>
      <c r="E91" s="164">
        <f>C91*D91</f>
        <v>278452</v>
      </c>
      <c r="F91" s="111"/>
    </row>
    <row r="92" spans="1:6" s="1" customFormat="1" ht="11.25" customHeight="1">
      <c r="A92" s="116" t="s">
        <v>67</v>
      </c>
      <c r="B92" s="117" t="s">
        <v>68</v>
      </c>
      <c r="C92" s="165">
        <v>10</v>
      </c>
      <c r="D92" s="166"/>
      <c r="E92" s="167"/>
      <c r="F92" s="111"/>
    </row>
    <row r="93" spans="1:6" s="1" customFormat="1" ht="11.25" customHeight="1">
      <c r="A93" s="116" t="s">
        <v>69</v>
      </c>
      <c r="B93" s="117"/>
      <c r="C93" s="165">
        <v>5</v>
      </c>
      <c r="D93" s="167"/>
      <c r="E93" s="167"/>
      <c r="F93" s="168"/>
    </row>
    <row r="94" spans="1:6" s="1" customFormat="1" ht="11.25" customHeight="1">
      <c r="A94" s="116" t="s">
        <v>70</v>
      </c>
      <c r="B94" s="117" t="s">
        <v>6</v>
      </c>
      <c r="C94" s="169">
        <f>'5. Depreciação'!B12</f>
        <v>65.18</v>
      </c>
      <c r="D94" s="167">
        <f>E91</f>
        <v>278452</v>
      </c>
      <c r="E94" s="167">
        <f>C94*D94/100</f>
        <v>181495.01360000003</v>
      </c>
      <c r="F94" s="111"/>
    </row>
    <row r="95" spans="1:6" s="1" customFormat="1" ht="11.25" customHeight="1">
      <c r="A95" s="170" t="s">
        <v>71</v>
      </c>
      <c r="B95" s="171" t="s">
        <v>25</v>
      </c>
      <c r="C95" s="172">
        <f>C92*12</f>
        <v>120</v>
      </c>
      <c r="D95" s="173">
        <f>IF(C93&lt;=C92,E94,0)</f>
        <v>181495.01360000003</v>
      </c>
      <c r="E95" s="174">
        <f>_xlfn.IFERROR(D95/C95,0)</f>
        <v>1512.458446666667</v>
      </c>
      <c r="F95" s="111"/>
    </row>
    <row r="96" spans="1:6" s="1" customFormat="1" ht="11.25" customHeight="1">
      <c r="A96" s="116"/>
      <c r="B96" s="117"/>
      <c r="C96" s="175"/>
      <c r="D96" s="167"/>
      <c r="E96" s="167"/>
      <c r="F96" s="111"/>
    </row>
    <row r="97" spans="1:6" s="1" customFormat="1" ht="11.25" customHeight="1">
      <c r="A97" s="116" t="s">
        <v>72</v>
      </c>
      <c r="B97" s="117" t="s">
        <v>73</v>
      </c>
      <c r="C97" s="176">
        <v>1</v>
      </c>
      <c r="D97" s="177">
        <f>'Veículos Equip. Injeção'!C20</f>
        <v>700</v>
      </c>
      <c r="E97" s="178">
        <f>C97*D97</f>
        <v>700</v>
      </c>
      <c r="F97" s="111"/>
    </row>
    <row r="98" spans="1:6" s="1" customFormat="1" ht="11.25" customHeight="1" hidden="1">
      <c r="A98" s="116"/>
      <c r="B98" s="117"/>
      <c r="C98" s="176"/>
      <c r="D98" s="177"/>
      <c r="E98" s="178"/>
      <c r="F98" s="111"/>
    </row>
    <row r="99" spans="1:6" s="1" customFormat="1" ht="11.25" customHeight="1">
      <c r="A99" s="116"/>
      <c r="B99" s="117"/>
      <c r="C99" s="179"/>
      <c r="D99" s="167"/>
      <c r="E99" s="167"/>
      <c r="F99" s="111"/>
    </row>
    <row r="100" spans="1:6" s="1" customFormat="1" ht="11.25" customHeight="1">
      <c r="A100" s="180" t="s">
        <v>74</v>
      </c>
      <c r="B100" s="181" t="s">
        <v>45</v>
      </c>
      <c r="C100" s="182"/>
      <c r="D100" s="167"/>
      <c r="E100" s="174">
        <f>E95+E97+E98</f>
        <v>2212.458446666667</v>
      </c>
      <c r="F100" s="111"/>
    </row>
    <row r="101" spans="1:6" s="1" customFormat="1" ht="11.25" customHeight="1">
      <c r="A101" s="183"/>
      <c r="B101" s="183"/>
      <c r="C101" s="183"/>
      <c r="D101" s="184" t="s">
        <v>33</v>
      </c>
      <c r="E101" s="185">
        <v>1</v>
      </c>
      <c r="F101" s="186">
        <f>E100*E101</f>
        <v>2212.458446666667</v>
      </c>
    </row>
    <row r="102" spans="1:6" s="1" customFormat="1" ht="11.25" customHeight="1">
      <c r="A102" s="134"/>
      <c r="B102" s="134"/>
      <c r="D102" s="92"/>
      <c r="E102" s="96"/>
      <c r="F102" s="135"/>
    </row>
    <row r="103" spans="1:6" s="1" customFormat="1" ht="15.75" customHeight="1">
      <c r="A103" s="187" t="s">
        <v>75</v>
      </c>
      <c r="B103" s="188"/>
      <c r="C103" s="188"/>
      <c r="D103" s="189"/>
      <c r="E103" s="190"/>
      <c r="F103" s="126">
        <f>F67+F81+F86+F101</f>
        <v>10786.754193333334</v>
      </c>
    </row>
    <row r="104" ht="11.25" customHeight="1">
      <c r="G104" s="1"/>
    </row>
    <row r="105" spans="1:6" ht="13.5" customHeight="1">
      <c r="A105" s="67" t="s">
        <v>76</v>
      </c>
      <c r="B105" s="67"/>
      <c r="C105" s="67"/>
      <c r="D105" s="23"/>
      <c r="E105" s="23"/>
      <c r="F105" s="191"/>
    </row>
    <row r="106" spans="1:6" ht="12.75" customHeight="1">
      <c r="A106" s="155" t="s">
        <v>20</v>
      </c>
      <c r="B106" s="192" t="s">
        <v>21</v>
      </c>
      <c r="C106" s="192" t="s">
        <v>10</v>
      </c>
      <c r="D106" s="193" t="s">
        <v>22</v>
      </c>
      <c r="E106" s="193" t="s">
        <v>23</v>
      </c>
      <c r="F106" s="194" t="s">
        <v>24</v>
      </c>
    </row>
    <row r="107" spans="1:6" ht="12.75" customHeight="1">
      <c r="A107" s="195" t="s">
        <v>77</v>
      </c>
      <c r="B107" s="196" t="s">
        <v>6</v>
      </c>
      <c r="C107" s="197">
        <f>'4.BDI'!C18</f>
        <v>0.3014</v>
      </c>
      <c r="D107" s="198">
        <f>F103</f>
        <v>10786.754193333334</v>
      </c>
      <c r="E107" s="198">
        <f>D107*C107</f>
        <v>3251.127713870667</v>
      </c>
      <c r="F107" s="199"/>
    </row>
    <row r="108" spans="1:6" ht="13.5" customHeight="1">
      <c r="A108" s="200"/>
      <c r="B108" s="200"/>
      <c r="C108" s="200"/>
      <c r="D108" s="200"/>
      <c r="E108" s="200"/>
      <c r="F108" s="201"/>
    </row>
    <row r="109" spans="1:6" ht="14.25" customHeight="1">
      <c r="A109" s="202" t="s">
        <v>78</v>
      </c>
      <c r="B109" s="202"/>
      <c r="C109" s="202"/>
      <c r="D109" s="202"/>
      <c r="E109" s="202"/>
      <c r="F109" s="154">
        <f>E107</f>
        <v>3251.127713870667</v>
      </c>
    </row>
    <row r="110" ht="11.25" customHeight="1"/>
    <row r="111" spans="1:6" ht="24.75" customHeight="1">
      <c r="A111" s="203" t="s">
        <v>79</v>
      </c>
      <c r="B111" s="204"/>
      <c r="C111" s="204"/>
      <c r="D111" s="205"/>
      <c r="E111" s="206"/>
      <c r="F111" s="133">
        <f>F67+F81+F109+F86+F101</f>
        <v>14037.881907204</v>
      </c>
    </row>
    <row r="112" spans="1:6" ht="13.5" customHeight="1">
      <c r="A112" s="67"/>
      <c r="B112" s="63"/>
      <c r="C112" s="63"/>
      <c r="F112" s="207"/>
    </row>
    <row r="113" spans="1:6" ht="13.5" customHeight="1">
      <c r="A113" s="208" t="s">
        <v>80</v>
      </c>
      <c r="B113" s="209"/>
      <c r="C113" s="209"/>
      <c r="D113" s="210"/>
      <c r="E113" s="210"/>
      <c r="F113" s="211">
        <v>183.33</v>
      </c>
    </row>
    <row r="114" spans="1:6" ht="13.5" customHeight="1">
      <c r="A114" s="67"/>
      <c r="B114" s="63"/>
      <c r="C114" s="63"/>
      <c r="F114" s="207"/>
    </row>
    <row r="115" spans="1:6" ht="13.5" customHeight="1">
      <c r="A115" s="203" t="s">
        <v>81</v>
      </c>
      <c r="B115" s="204"/>
      <c r="C115" s="204"/>
      <c r="D115" s="205"/>
      <c r="E115" s="206"/>
      <c r="F115" s="133">
        <f>F111/F113</f>
        <v>76.57165716033383</v>
      </c>
    </row>
    <row r="116" spans="1:7" ht="12" customHeight="1">
      <c r="A116" s="212"/>
      <c r="B116" s="212"/>
      <c r="C116" s="212"/>
      <c r="D116" s="213"/>
      <c r="E116" s="213"/>
      <c r="F116" s="213"/>
      <c r="G116" s="214"/>
    </row>
    <row r="117" ht="12.75" customHeight="1">
      <c r="A117" s="24" t="s">
        <v>82</v>
      </c>
    </row>
  </sheetData>
  <sheetProtection selectLockedCells="1" selectUnlockedCells="1"/>
  <mergeCells count="14">
    <mergeCell ref="A1:F1"/>
    <mergeCell ref="A2:F3"/>
    <mergeCell ref="A4:F4"/>
    <mergeCell ref="A6:F6"/>
    <mergeCell ref="A13:C13"/>
    <mergeCell ref="A20:E20"/>
    <mergeCell ref="A21:D21"/>
    <mergeCell ref="A34:F34"/>
    <mergeCell ref="A43:D43"/>
    <mergeCell ref="A52:C52"/>
    <mergeCell ref="A53:D53"/>
    <mergeCell ref="F76:G76"/>
    <mergeCell ref="A78:B78"/>
    <mergeCell ref="A109:E109"/>
  </mergeCells>
  <hyperlinks>
    <hyperlink ref="A89" location="AbaDeprec" display="4.1. Depreciação/manutenção "/>
  </hyperlinks>
  <printOptions horizontalCentered="1"/>
  <pageMargins left="0.5118055555555555" right="0.5118055555555555" top="0.15763888888888888" bottom="0.35486111111111107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3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8" sqref="B18"/>
    </sheetView>
  </sheetViews>
  <sheetFormatPr defaultColWidth="8.00390625" defaultRowHeight="19.5" customHeight="1"/>
  <cols>
    <col min="1" max="1" width="24.57421875" style="215" customWidth="1"/>
    <col min="2" max="2" width="20.8515625" style="215" customWidth="1"/>
    <col min="3" max="16384" width="9.140625" style="215" customWidth="1"/>
  </cols>
  <sheetData>
    <row r="1" spans="1:2" ht="19.5" customHeight="1">
      <c r="A1" s="315" t="s">
        <v>223</v>
      </c>
      <c r="B1" s="315"/>
    </row>
    <row r="2" spans="1:2" s="239" customFormat="1" ht="19.5" customHeight="1">
      <c r="A2" s="316" t="s">
        <v>224</v>
      </c>
      <c r="B2" s="317" t="s">
        <v>225</v>
      </c>
    </row>
    <row r="3" spans="1:2" ht="19.5" customHeight="1">
      <c r="A3" s="318">
        <v>1</v>
      </c>
      <c r="B3" s="319">
        <v>33.63</v>
      </c>
    </row>
    <row r="4" spans="1:2" ht="19.5" customHeight="1">
      <c r="A4" s="318">
        <v>2</v>
      </c>
      <c r="B4" s="319">
        <v>43.13</v>
      </c>
    </row>
    <row r="5" spans="1:2" ht="19.5" customHeight="1">
      <c r="A5" s="318">
        <v>3</v>
      </c>
      <c r="B5" s="319">
        <v>48.68</v>
      </c>
    </row>
    <row r="6" spans="1:2" ht="19.5" customHeight="1">
      <c r="A6" s="318">
        <v>4</v>
      </c>
      <c r="B6" s="319">
        <v>52.62</v>
      </c>
    </row>
    <row r="7" spans="1:2" ht="19.5" customHeight="1">
      <c r="A7" s="318">
        <v>5</v>
      </c>
      <c r="B7" s="319">
        <v>55.68</v>
      </c>
    </row>
    <row r="8" spans="1:2" ht="19.5" customHeight="1">
      <c r="A8" s="318">
        <v>6</v>
      </c>
      <c r="B8" s="319">
        <v>58.18</v>
      </c>
    </row>
    <row r="9" spans="1:2" ht="19.5" customHeight="1">
      <c r="A9" s="318">
        <v>7</v>
      </c>
      <c r="B9" s="319">
        <v>60.29</v>
      </c>
    </row>
    <row r="10" spans="1:2" ht="19.5" customHeight="1">
      <c r="A10" s="318">
        <v>8</v>
      </c>
      <c r="B10" s="319">
        <v>62.12</v>
      </c>
    </row>
    <row r="11" spans="1:2" ht="19.5" customHeight="1">
      <c r="A11" s="318">
        <v>9</v>
      </c>
      <c r="B11" s="319">
        <v>63.73</v>
      </c>
    </row>
    <row r="12" spans="1:2" ht="19.5" customHeight="1">
      <c r="A12" s="318">
        <v>10</v>
      </c>
      <c r="B12" s="319">
        <v>65.18</v>
      </c>
    </row>
    <row r="13" spans="1:2" ht="19.5" customHeight="1">
      <c r="A13" s="318">
        <v>11</v>
      </c>
      <c r="B13" s="319">
        <v>66.48</v>
      </c>
    </row>
    <row r="14" spans="1:2" ht="19.5" customHeight="1">
      <c r="A14" s="318">
        <v>12</v>
      </c>
      <c r="B14" s="319">
        <v>67.67</v>
      </c>
    </row>
    <row r="15" spans="1:2" ht="19.5" customHeight="1">
      <c r="A15" s="318">
        <v>13</v>
      </c>
      <c r="B15" s="319">
        <v>68.77</v>
      </c>
    </row>
    <row r="16" spans="1:2" ht="19.5" customHeight="1">
      <c r="A16" s="318">
        <v>14</v>
      </c>
      <c r="B16" s="319">
        <v>69.79</v>
      </c>
    </row>
    <row r="17" spans="1:2" ht="19.5" customHeight="1">
      <c r="A17" s="320">
        <v>15</v>
      </c>
      <c r="B17" s="321">
        <v>70.73</v>
      </c>
    </row>
  </sheetData>
  <sheetProtection selectLockedCells="1" selectUnlockedCells="1"/>
  <mergeCells count="1">
    <mergeCell ref="A1:B1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8.00390625" defaultRowHeight="12.75"/>
  <cols>
    <col min="1" max="1" width="9.140625" style="0" customWidth="1"/>
    <col min="2" max="2" width="11.00390625" style="0" customWidth="1"/>
    <col min="3" max="3" width="14.421875" style="0" customWidth="1"/>
    <col min="4" max="16384" width="9.140625" style="0" customWidth="1"/>
  </cols>
  <sheetData>
    <row r="1" spans="1:6" ht="15.75">
      <c r="A1" s="322" t="s">
        <v>226</v>
      </c>
      <c r="B1" s="323"/>
      <c r="C1" s="323"/>
      <c r="D1" s="323"/>
      <c r="E1" s="323"/>
      <c r="F1" s="323"/>
    </row>
    <row r="2" spans="1:6" ht="15">
      <c r="A2" s="324" t="s">
        <v>227</v>
      </c>
      <c r="B2" s="323"/>
      <c r="C2" s="323"/>
      <c r="D2" s="323"/>
      <c r="E2" s="323"/>
      <c r="F2" s="323"/>
    </row>
    <row r="3" spans="1:6" ht="15">
      <c r="A3" s="324" t="s">
        <v>228</v>
      </c>
      <c r="B3" s="323"/>
      <c r="C3" s="323"/>
      <c r="D3" s="323"/>
      <c r="E3" s="323"/>
      <c r="F3" s="323"/>
    </row>
    <row r="4" spans="1:6" ht="15">
      <c r="A4" s="325" t="s">
        <v>229</v>
      </c>
      <c r="B4" s="325" t="s">
        <v>230</v>
      </c>
      <c r="C4" s="325" t="s">
        <v>231</v>
      </c>
      <c r="D4" s="325" t="s">
        <v>232</v>
      </c>
      <c r="E4" s="325" t="s">
        <v>233</v>
      </c>
      <c r="F4" s="325" t="s">
        <v>234</v>
      </c>
    </row>
    <row r="5" spans="1:6" ht="15">
      <c r="A5" s="326">
        <v>1</v>
      </c>
      <c r="B5" s="325" t="s">
        <v>235</v>
      </c>
      <c r="C5" s="325" t="s">
        <v>236</v>
      </c>
      <c r="D5" s="327">
        <v>0.3125</v>
      </c>
      <c r="E5" s="327">
        <v>0.7208333333333333</v>
      </c>
      <c r="F5" s="327">
        <v>0.3666666666666667</v>
      </c>
    </row>
    <row r="6" spans="1:6" ht="15">
      <c r="A6" s="323"/>
      <c r="B6" s="323"/>
      <c r="C6" s="323"/>
      <c r="D6" s="323"/>
      <c r="E6" s="323"/>
      <c r="F6" s="323"/>
    </row>
    <row r="7" spans="1:9" ht="15">
      <c r="A7" s="324" t="s">
        <v>237</v>
      </c>
      <c r="B7" s="323"/>
      <c r="C7" s="323"/>
      <c r="D7" s="323"/>
      <c r="E7" s="323"/>
      <c r="F7" s="323"/>
      <c r="I7" s="328"/>
    </row>
    <row r="8" spans="1:6" ht="15">
      <c r="A8" s="329" t="s">
        <v>238</v>
      </c>
      <c r="B8" s="330"/>
      <c r="C8" s="330"/>
      <c r="D8" s="330"/>
      <c r="E8" s="330"/>
      <c r="F8" s="331">
        <v>8.8</v>
      </c>
    </row>
    <row r="9" spans="1:6" ht="15">
      <c r="A9" s="329" t="s">
        <v>239</v>
      </c>
      <c r="B9" s="330"/>
      <c r="C9" s="330"/>
      <c r="D9" s="330"/>
      <c r="E9" s="330"/>
      <c r="F9" s="332">
        <v>5</v>
      </c>
    </row>
    <row r="10" spans="1:6" ht="15">
      <c r="A10" s="329" t="s">
        <v>240</v>
      </c>
      <c r="B10" s="330"/>
      <c r="C10" s="330"/>
      <c r="D10" s="330"/>
      <c r="E10" s="330"/>
      <c r="F10" s="331">
        <f>F8*F9</f>
        <v>44</v>
      </c>
    </row>
    <row r="11" spans="1:6" ht="15">
      <c r="A11" s="329" t="s">
        <v>241</v>
      </c>
      <c r="B11" s="330"/>
      <c r="C11" s="330"/>
      <c r="D11" s="330"/>
      <c r="E11" s="330"/>
      <c r="F11" s="332">
        <v>6</v>
      </c>
    </row>
    <row r="12" spans="1:6" ht="15">
      <c r="A12" s="329" t="s">
        <v>242</v>
      </c>
      <c r="B12" s="330"/>
      <c r="C12" s="330"/>
      <c r="D12" s="330"/>
      <c r="E12" s="330"/>
      <c r="F12" s="332">
        <v>7</v>
      </c>
    </row>
    <row r="13" spans="1:8" ht="15">
      <c r="A13" s="329" t="s">
        <v>243</v>
      </c>
      <c r="B13" s="330"/>
      <c r="C13" s="330"/>
      <c r="D13" s="330"/>
      <c r="E13" s="330"/>
      <c r="F13" s="331">
        <f>F10/F11</f>
        <v>7.333333333333333</v>
      </c>
      <c r="H13" s="333"/>
    </row>
    <row r="14" spans="1:6" ht="15">
      <c r="A14" s="329" t="s">
        <v>244</v>
      </c>
      <c r="B14" s="330"/>
      <c r="C14" s="330"/>
      <c r="D14" s="330"/>
      <c r="E14" s="330"/>
      <c r="F14" s="332">
        <v>30</v>
      </c>
    </row>
    <row r="15" spans="1:6" ht="15">
      <c r="A15" s="334" t="s">
        <v>245</v>
      </c>
      <c r="B15" s="335"/>
      <c r="C15" s="335"/>
      <c r="D15" s="335"/>
      <c r="E15" s="335"/>
      <c r="F15" s="336">
        <f>F13*F14</f>
        <v>220</v>
      </c>
    </row>
    <row r="16" spans="1:6" ht="15">
      <c r="A16" s="334" t="s">
        <v>246</v>
      </c>
      <c r="B16" s="335"/>
      <c r="C16" s="335"/>
      <c r="D16" s="335"/>
      <c r="E16" s="335"/>
      <c r="F16" s="325">
        <v>220</v>
      </c>
    </row>
    <row r="17" spans="1:6" ht="15">
      <c r="A17" s="334" t="s">
        <v>247</v>
      </c>
      <c r="B17" s="335"/>
      <c r="C17" s="335"/>
      <c r="D17" s="335"/>
      <c r="E17" s="335"/>
      <c r="F17" s="337">
        <f>F15/F16</f>
        <v>1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8.00390625" defaultRowHeight="12.75"/>
  <cols>
    <col min="1" max="1" width="8.00390625" style="0" customWidth="1"/>
    <col min="2" max="2" width="35.140625" style="0" customWidth="1"/>
    <col min="3" max="3" width="18.7109375" style="0" customWidth="1"/>
    <col min="4" max="16384" width="9.140625" style="0" customWidth="1"/>
  </cols>
  <sheetData>
    <row r="1" ht="12.75">
      <c r="A1" s="338" t="s">
        <v>248</v>
      </c>
    </row>
    <row r="3" ht="12.75">
      <c r="A3" s="338" t="s">
        <v>249</v>
      </c>
    </row>
    <row r="4" ht="12.75">
      <c r="A4" s="338" t="s">
        <v>250</v>
      </c>
    </row>
    <row r="5" spans="1:5" ht="12.75">
      <c r="A5" s="339" t="s">
        <v>251</v>
      </c>
      <c r="B5" s="339" t="s">
        <v>252</v>
      </c>
      <c r="C5" s="339" t="s">
        <v>253</v>
      </c>
      <c r="D5" s="338"/>
      <c r="E5" s="338"/>
    </row>
    <row r="6" spans="1:3" ht="12.75">
      <c r="A6" s="340">
        <v>1</v>
      </c>
      <c r="B6" s="341" t="s">
        <v>254</v>
      </c>
      <c r="C6" s="157">
        <v>72452</v>
      </c>
    </row>
    <row r="7" spans="1:3" ht="12.75">
      <c r="A7" s="340">
        <v>2</v>
      </c>
      <c r="B7" s="341" t="s">
        <v>255</v>
      </c>
      <c r="C7" s="157">
        <v>96000</v>
      </c>
    </row>
    <row r="8" spans="1:3" ht="12.75">
      <c r="A8" s="340">
        <v>3</v>
      </c>
      <c r="B8" s="341" t="s">
        <v>256</v>
      </c>
      <c r="C8" s="157">
        <v>100000</v>
      </c>
    </row>
    <row r="9" spans="1:3" ht="12.75">
      <c r="A9" s="341"/>
      <c r="B9" s="341"/>
      <c r="C9" s="157"/>
    </row>
    <row r="10" spans="1:3" ht="12.75">
      <c r="A10" s="339" t="s">
        <v>257</v>
      </c>
      <c r="B10" s="341"/>
      <c r="C10" s="342">
        <f>SUM(C6:C9)</f>
        <v>268452</v>
      </c>
    </row>
    <row r="11" ht="12.75">
      <c r="C11" s="343"/>
    </row>
    <row r="12" spans="1:3" ht="12.75">
      <c r="A12" s="338" t="s">
        <v>258</v>
      </c>
      <c r="C12" s="343"/>
    </row>
    <row r="13" spans="1:3" ht="12.75">
      <c r="A13" s="339" t="s">
        <v>251</v>
      </c>
      <c r="B13" s="339" t="s">
        <v>259</v>
      </c>
      <c r="C13" s="339" t="s">
        <v>253</v>
      </c>
    </row>
    <row r="14" spans="1:3" ht="12.75">
      <c r="A14" s="340">
        <v>1</v>
      </c>
      <c r="B14" s="341" t="s">
        <v>260</v>
      </c>
      <c r="C14" s="157">
        <v>10000</v>
      </c>
    </row>
    <row r="15" spans="1:3" ht="12.75">
      <c r="A15" s="340"/>
      <c r="B15" s="341"/>
      <c r="C15" s="157"/>
    </row>
    <row r="16" spans="1:3" ht="12.75">
      <c r="A16" s="339" t="s">
        <v>261</v>
      </c>
      <c r="B16" s="341"/>
      <c r="C16" s="342">
        <f>SUM(C14:C15)</f>
        <v>10000</v>
      </c>
    </row>
    <row r="18" spans="1:3" ht="12.75">
      <c r="A18" s="338" t="s">
        <v>262</v>
      </c>
      <c r="C18" s="343"/>
    </row>
    <row r="19" spans="1:3" ht="12.75">
      <c r="A19" s="339" t="s">
        <v>251</v>
      </c>
      <c r="B19" s="339" t="s">
        <v>263</v>
      </c>
      <c r="C19" s="344" t="s">
        <v>264</v>
      </c>
    </row>
    <row r="20" spans="1:3" ht="12.75">
      <c r="A20" s="340">
        <v>1</v>
      </c>
      <c r="B20" s="341" t="s">
        <v>265</v>
      </c>
      <c r="C20" s="157">
        <v>700</v>
      </c>
    </row>
    <row r="21" spans="1:3" ht="12.75">
      <c r="A21" s="340"/>
      <c r="B21" s="341"/>
      <c r="C21" s="157"/>
    </row>
    <row r="22" spans="1:3" ht="12.75">
      <c r="A22" s="339" t="s">
        <v>266</v>
      </c>
      <c r="B22" s="341"/>
      <c r="C22" s="342">
        <f>SUM(C20:C21)</f>
        <v>700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7" sqref="B7"/>
    </sheetView>
  </sheetViews>
  <sheetFormatPr defaultColWidth="8.00390625" defaultRowHeight="12.75"/>
  <cols>
    <col min="1" max="1" width="8.00390625" style="0" customWidth="1"/>
    <col min="2" max="2" width="35.140625" style="0" customWidth="1"/>
    <col min="3" max="3" width="18.7109375" style="0" customWidth="1"/>
    <col min="4" max="16384" width="9.140625" style="0" customWidth="1"/>
  </cols>
  <sheetData>
    <row r="1" ht="12.75">
      <c r="A1" s="338" t="s">
        <v>248</v>
      </c>
    </row>
    <row r="3" ht="12.75">
      <c r="A3" s="338" t="s">
        <v>249</v>
      </c>
    </row>
    <row r="4" ht="12.75">
      <c r="A4" s="338" t="s">
        <v>267</v>
      </c>
    </row>
    <row r="5" spans="1:5" ht="12.75">
      <c r="A5" s="339" t="s">
        <v>251</v>
      </c>
      <c r="B5" s="339" t="s">
        <v>252</v>
      </c>
      <c r="C5" s="339" t="s">
        <v>253</v>
      </c>
      <c r="D5" s="338"/>
      <c r="E5" s="338"/>
    </row>
    <row r="6" spans="1:3" ht="12.75">
      <c r="A6" s="340">
        <v>1</v>
      </c>
      <c r="B6" s="341" t="s">
        <v>254</v>
      </c>
      <c r="C6" s="157">
        <v>72452</v>
      </c>
    </row>
    <row r="7" spans="1:3" ht="12.75">
      <c r="A7" s="340">
        <v>2</v>
      </c>
      <c r="B7" s="341" t="s">
        <v>268</v>
      </c>
      <c r="C7" s="157">
        <v>31759</v>
      </c>
    </row>
    <row r="8" spans="1:3" ht="12.75">
      <c r="A8" s="340">
        <v>3</v>
      </c>
      <c r="B8" s="341" t="s">
        <v>256</v>
      </c>
      <c r="C8" s="157">
        <v>100000</v>
      </c>
    </row>
    <row r="9" spans="1:3" ht="12.75">
      <c r="A9" s="341"/>
      <c r="B9" s="341"/>
      <c r="C9" s="157"/>
    </row>
    <row r="10" spans="1:3" ht="12.75">
      <c r="A10" s="339" t="s">
        <v>257</v>
      </c>
      <c r="B10" s="341"/>
      <c r="C10" s="342">
        <f>SUM(C6:C9)</f>
        <v>204211</v>
      </c>
    </row>
    <row r="11" ht="12.75">
      <c r="C11" s="343"/>
    </row>
    <row r="12" spans="1:3" ht="12.75">
      <c r="A12" s="338" t="s">
        <v>258</v>
      </c>
      <c r="C12" s="343"/>
    </row>
    <row r="13" spans="1:3" ht="12.75">
      <c r="A13" s="339" t="s">
        <v>251</v>
      </c>
      <c r="B13" s="339" t="s">
        <v>259</v>
      </c>
      <c r="C13" s="339" t="s">
        <v>253</v>
      </c>
    </row>
    <row r="14" spans="1:3" ht="12.75">
      <c r="A14" s="340">
        <v>1</v>
      </c>
      <c r="B14" s="341" t="s">
        <v>260</v>
      </c>
      <c r="C14" s="157">
        <v>10000</v>
      </c>
    </row>
    <row r="15" spans="1:3" ht="12.75">
      <c r="A15" s="340"/>
      <c r="B15" s="341"/>
      <c r="C15" s="157"/>
    </row>
    <row r="16" spans="1:3" ht="12.75">
      <c r="A16" s="339" t="s">
        <v>261</v>
      </c>
      <c r="B16" s="341"/>
      <c r="C16" s="342">
        <f>SUM(C14:C15)</f>
        <v>10000</v>
      </c>
    </row>
    <row r="18" spans="1:3" ht="12.75">
      <c r="A18" s="338" t="s">
        <v>262</v>
      </c>
      <c r="C18" s="343"/>
    </row>
    <row r="19" spans="1:3" ht="12.75">
      <c r="A19" s="339" t="s">
        <v>251</v>
      </c>
      <c r="B19" s="339" t="s">
        <v>263</v>
      </c>
      <c r="C19" s="344" t="s">
        <v>264</v>
      </c>
    </row>
    <row r="20" spans="1:3" ht="12.75">
      <c r="A20" s="340">
        <v>1</v>
      </c>
      <c r="B20" s="341" t="s">
        <v>265</v>
      </c>
      <c r="C20" s="157">
        <v>700</v>
      </c>
    </row>
    <row r="21" spans="1:3" ht="12.75">
      <c r="A21" s="340"/>
      <c r="B21" s="341"/>
      <c r="C21" s="157"/>
    </row>
    <row r="22" spans="1:3" ht="12.75">
      <c r="A22" s="339" t="s">
        <v>266</v>
      </c>
      <c r="B22" s="341"/>
      <c r="C22" s="342">
        <f>SUM(C20:C21)</f>
        <v>700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5" sqref="A5"/>
    </sheetView>
  </sheetViews>
  <sheetFormatPr defaultColWidth="8.00390625" defaultRowHeight="12.75"/>
  <cols>
    <col min="1" max="1" width="8.00390625" style="0" customWidth="1"/>
    <col min="2" max="2" width="35.140625" style="0" customWidth="1"/>
    <col min="3" max="3" width="18.7109375" style="0" customWidth="1"/>
    <col min="4" max="16384" width="9.140625" style="0" customWidth="1"/>
  </cols>
  <sheetData>
    <row r="1" ht="12.75">
      <c r="A1" s="338" t="s">
        <v>248</v>
      </c>
    </row>
    <row r="3" ht="12.75">
      <c r="A3" s="338" t="s">
        <v>249</v>
      </c>
    </row>
    <row r="4" ht="12.75">
      <c r="A4" s="338" t="s">
        <v>269</v>
      </c>
    </row>
    <row r="5" spans="1:5" ht="12.75">
      <c r="A5" s="339" t="s">
        <v>251</v>
      </c>
      <c r="B5" s="339" t="s">
        <v>252</v>
      </c>
      <c r="C5" s="339" t="s">
        <v>253</v>
      </c>
      <c r="D5" s="338"/>
      <c r="E5" s="338"/>
    </row>
    <row r="6" spans="1:3" ht="12.75">
      <c r="A6" s="340">
        <v>1</v>
      </c>
      <c r="B6" s="341" t="s">
        <v>254</v>
      </c>
      <c r="C6" s="157">
        <v>72452</v>
      </c>
    </row>
    <row r="7" spans="1:3" ht="12.75">
      <c r="A7" s="340">
        <v>2</v>
      </c>
      <c r="B7" s="341" t="s">
        <v>270</v>
      </c>
      <c r="C7" s="157">
        <v>35599</v>
      </c>
    </row>
    <row r="8" spans="1:3" ht="12.75">
      <c r="A8" s="340">
        <v>3</v>
      </c>
      <c r="B8" s="341" t="s">
        <v>256</v>
      </c>
      <c r="C8" s="157">
        <v>100000</v>
      </c>
    </row>
    <row r="9" spans="1:3" ht="12.75">
      <c r="A9" s="341"/>
      <c r="B9" s="341"/>
      <c r="C9" s="157"/>
    </row>
    <row r="10" spans="1:3" ht="12.75">
      <c r="A10" s="339" t="s">
        <v>257</v>
      </c>
      <c r="B10" s="341"/>
      <c r="C10" s="342">
        <f>SUM(C6:C9)</f>
        <v>208051</v>
      </c>
    </row>
    <row r="11" ht="12.75">
      <c r="C11" s="343"/>
    </row>
    <row r="12" spans="1:3" ht="12.75">
      <c r="A12" s="338" t="s">
        <v>258</v>
      </c>
      <c r="C12" s="343"/>
    </row>
    <row r="13" spans="1:3" ht="12.75">
      <c r="A13" s="339" t="s">
        <v>251</v>
      </c>
      <c r="B13" s="339" t="s">
        <v>259</v>
      </c>
      <c r="C13" s="339" t="s">
        <v>253</v>
      </c>
    </row>
    <row r="14" spans="1:3" ht="12.75">
      <c r="A14" s="340">
        <v>1</v>
      </c>
      <c r="B14" s="341" t="s">
        <v>260</v>
      </c>
      <c r="C14" s="157">
        <v>10000</v>
      </c>
    </row>
    <row r="15" spans="1:3" ht="12.75">
      <c r="A15" s="340"/>
      <c r="B15" s="341"/>
      <c r="C15" s="157"/>
    </row>
    <row r="16" spans="1:3" ht="12.75">
      <c r="A16" s="339" t="s">
        <v>261</v>
      </c>
      <c r="B16" s="341"/>
      <c r="C16" s="342">
        <f>SUM(C14:C15)</f>
        <v>10000</v>
      </c>
    </row>
    <row r="18" spans="1:3" ht="12.75">
      <c r="A18" s="338" t="s">
        <v>262</v>
      </c>
      <c r="C18" s="343"/>
    </row>
    <row r="19" spans="1:3" ht="12.75">
      <c r="A19" s="339" t="s">
        <v>251</v>
      </c>
      <c r="B19" s="339" t="s">
        <v>263</v>
      </c>
      <c r="C19" s="344" t="s">
        <v>264</v>
      </c>
    </row>
    <row r="20" spans="1:3" ht="12.75">
      <c r="A20" s="340">
        <v>1</v>
      </c>
      <c r="B20" s="341" t="s">
        <v>265</v>
      </c>
      <c r="C20" s="157">
        <v>700</v>
      </c>
    </row>
    <row r="21" spans="1:3" ht="12.75">
      <c r="A21" s="340"/>
      <c r="B21" s="341"/>
      <c r="C21" s="157"/>
    </row>
    <row r="22" spans="1:3" ht="12.75">
      <c r="A22" s="339" t="s">
        <v>266</v>
      </c>
      <c r="B22" s="341"/>
      <c r="C22" s="342">
        <f>SUM(C20:C21)</f>
        <v>700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8" sqref="C8"/>
    </sheetView>
  </sheetViews>
  <sheetFormatPr defaultColWidth="8.00390625" defaultRowHeight="12.75"/>
  <cols>
    <col min="1" max="1" width="8.00390625" style="0" customWidth="1"/>
    <col min="2" max="2" width="35.140625" style="0" customWidth="1"/>
    <col min="3" max="3" width="18.7109375" style="0" customWidth="1"/>
    <col min="4" max="16384" width="9.140625" style="0" customWidth="1"/>
  </cols>
  <sheetData>
    <row r="1" ht="12.75">
      <c r="A1" s="338" t="s">
        <v>248</v>
      </c>
    </row>
    <row r="3" ht="12.75">
      <c r="A3" s="338" t="s">
        <v>249</v>
      </c>
    </row>
    <row r="4" ht="12.75">
      <c r="A4" s="338" t="s">
        <v>271</v>
      </c>
    </row>
    <row r="5" spans="1:5" ht="12.75">
      <c r="A5" s="339" t="s">
        <v>251</v>
      </c>
      <c r="B5" s="339" t="s">
        <v>252</v>
      </c>
      <c r="C5" s="339" t="s">
        <v>253</v>
      </c>
      <c r="D5" s="338"/>
      <c r="E5" s="338"/>
    </row>
    <row r="6" spans="1:3" ht="12.75">
      <c r="A6" s="340">
        <v>1</v>
      </c>
      <c r="B6" s="341" t="s">
        <v>254</v>
      </c>
      <c r="C6" s="157">
        <v>72452</v>
      </c>
    </row>
    <row r="7" spans="1:3" ht="12.75">
      <c r="A7" s="340">
        <v>2</v>
      </c>
      <c r="B7" s="341" t="s">
        <v>272</v>
      </c>
      <c r="C7" s="157">
        <v>4236</v>
      </c>
    </row>
    <row r="8" spans="1:3" ht="12.75">
      <c r="A8" s="340">
        <v>3</v>
      </c>
      <c r="B8" s="341" t="s">
        <v>256</v>
      </c>
      <c r="C8" s="157">
        <v>100000</v>
      </c>
    </row>
    <row r="9" spans="1:3" ht="12.75">
      <c r="A9" s="341"/>
      <c r="B9" s="341"/>
      <c r="C9" s="157"/>
    </row>
    <row r="10" spans="1:3" ht="12.75">
      <c r="A10" s="339" t="s">
        <v>257</v>
      </c>
      <c r="B10" s="341"/>
      <c r="C10" s="342">
        <f>SUM(C6:C9)</f>
        <v>176688</v>
      </c>
    </row>
    <row r="11" ht="12.75">
      <c r="C11" s="343"/>
    </row>
    <row r="12" spans="1:3" ht="12.75">
      <c r="A12" s="338" t="s">
        <v>258</v>
      </c>
      <c r="C12" s="343"/>
    </row>
    <row r="13" spans="1:3" ht="12.75">
      <c r="A13" s="339" t="s">
        <v>251</v>
      </c>
      <c r="B13" s="339" t="s">
        <v>259</v>
      </c>
      <c r="C13" s="339" t="s">
        <v>253</v>
      </c>
    </row>
    <row r="14" spans="1:3" ht="12.75">
      <c r="A14" s="340">
        <v>1</v>
      </c>
      <c r="B14" s="341" t="s">
        <v>260</v>
      </c>
      <c r="C14" s="157">
        <v>10000</v>
      </c>
    </row>
    <row r="15" spans="1:3" ht="12.75">
      <c r="A15" s="340"/>
      <c r="B15" s="341"/>
      <c r="C15" s="157"/>
    </row>
    <row r="16" spans="1:3" ht="12.75">
      <c r="A16" s="339" t="s">
        <v>261</v>
      </c>
      <c r="B16" s="341"/>
      <c r="C16" s="342">
        <f>SUM(C14:C15)</f>
        <v>10000</v>
      </c>
    </row>
    <row r="18" spans="1:3" ht="12.75">
      <c r="A18" s="338" t="s">
        <v>262</v>
      </c>
      <c r="C18" s="343"/>
    </row>
    <row r="19" spans="1:3" ht="12.75">
      <c r="A19" s="339" t="s">
        <v>251</v>
      </c>
      <c r="B19" s="339" t="s">
        <v>263</v>
      </c>
      <c r="C19" s="344" t="s">
        <v>264</v>
      </c>
    </row>
    <row r="20" spans="1:3" ht="12.75">
      <c r="A20" s="340">
        <v>1</v>
      </c>
      <c r="B20" s="341" t="s">
        <v>265</v>
      </c>
      <c r="C20" s="157">
        <v>700</v>
      </c>
    </row>
    <row r="21" spans="1:3" ht="12.75">
      <c r="A21" s="340"/>
      <c r="B21" s="341"/>
      <c r="C21" s="157"/>
    </row>
    <row r="22" spans="1:3" ht="12.75">
      <c r="A22" s="339" t="s">
        <v>266</v>
      </c>
      <c r="B22" s="341"/>
      <c r="C22" s="342">
        <f>SUM(C20:C21)</f>
        <v>700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17" sqref="A117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83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A33</f>
        <v>0</v>
      </c>
      <c r="B8" s="19"/>
      <c r="C8" s="20"/>
      <c r="D8" s="20"/>
      <c r="E8" s="21">
        <f>+F67</f>
        <v>6551.62908</v>
      </c>
      <c r="F8" s="22">
        <f aca="true" t="shared" si="1" ref="F8:F17">E8/$E$18</f>
        <v>0.533816599104412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F42</f>
        <v>3160.70496</v>
      </c>
      <c r="F9" s="29">
        <f t="shared" si="1"/>
        <v>0.2575293491003991</v>
      </c>
      <c r="G9" s="2"/>
    </row>
    <row r="10" spans="1:7" s="4" customFormat="1" ht="15.75" customHeight="1">
      <c r="A10" s="25">
        <f>A44</f>
        <v>0</v>
      </c>
      <c r="B10" s="26"/>
      <c r="C10" s="27"/>
      <c r="D10" s="27"/>
      <c r="E10" s="28">
        <f>F52</f>
        <v>2714.4633599999997</v>
      </c>
      <c r="F10" s="29">
        <f t="shared" si="1"/>
        <v>0.22117027407002338</v>
      </c>
      <c r="G10" s="2"/>
    </row>
    <row r="11" spans="1:7" s="4" customFormat="1" ht="15.75" customHeight="1">
      <c r="A11" s="25">
        <f>A54</f>
        <v>0</v>
      </c>
      <c r="B11" s="26"/>
      <c r="C11" s="27"/>
      <c r="D11" s="27"/>
      <c r="E11" s="28">
        <f>F60</f>
        <v>84.17256000000002</v>
      </c>
      <c r="F11" s="29">
        <f t="shared" si="1"/>
        <v>0.006858249935772017</v>
      </c>
      <c r="G11" s="2"/>
    </row>
    <row r="12" spans="1:7" s="4" customFormat="1" ht="15.75" customHeight="1">
      <c r="A12" s="25">
        <f>A62</f>
        <v>0</v>
      </c>
      <c r="B12" s="26"/>
      <c r="C12" s="27"/>
      <c r="D12" s="27"/>
      <c r="E12" s="28">
        <f>F65</f>
        <v>592.2882000000001</v>
      </c>
      <c r="F12" s="29">
        <f t="shared" si="1"/>
        <v>0.04825872599821751</v>
      </c>
      <c r="G12" s="2"/>
    </row>
    <row r="13" spans="1:7" s="24" customFormat="1" ht="15.75" customHeight="1">
      <c r="A13" s="30">
        <f aca="true" t="shared" si="2" ref="A13:A14">A69</f>
        <v>0</v>
      </c>
      <c r="B13" s="30"/>
      <c r="C13" s="30"/>
      <c r="D13" s="20"/>
      <c r="E13" s="21">
        <f>+F81</f>
        <v>166.66666666666666</v>
      </c>
      <c r="F13" s="22">
        <f t="shared" si="1"/>
        <v>0.013579742091270629</v>
      </c>
      <c r="G13" s="23"/>
    </row>
    <row r="14" spans="1:7" s="24" customFormat="1" ht="15.75" customHeight="1">
      <c r="A14" s="31">
        <f t="shared" si="2"/>
        <v>0</v>
      </c>
      <c r="B14" s="32"/>
      <c r="C14" s="32"/>
      <c r="D14" s="20"/>
      <c r="E14" s="33">
        <f>F79</f>
        <v>166.66666666666666</v>
      </c>
      <c r="F14" s="29">
        <f t="shared" si="1"/>
        <v>0.013579742091270629</v>
      </c>
      <c r="G14" s="23"/>
    </row>
    <row r="15" spans="1:7" s="24" customFormat="1" ht="15.75" customHeight="1">
      <c r="A15" s="30">
        <f>A83</f>
        <v>0</v>
      </c>
      <c r="B15" s="32"/>
      <c r="C15" s="32"/>
      <c r="D15" s="20"/>
      <c r="E15" s="34">
        <f>F86</f>
        <v>500</v>
      </c>
      <c r="F15" s="22">
        <f t="shared" si="1"/>
        <v>0.040739226273811886</v>
      </c>
      <c r="G15" s="23"/>
    </row>
    <row r="16" spans="1:7" s="24" customFormat="1" ht="15.75" customHeight="1">
      <c r="A16" s="30">
        <f>A88</f>
        <v>0</v>
      </c>
      <c r="B16" s="32"/>
      <c r="C16" s="32"/>
      <c r="D16" s="20"/>
      <c r="E16" s="34">
        <f>F101</f>
        <v>2212.458446666667</v>
      </c>
      <c r="F16" s="22">
        <f t="shared" si="1"/>
        <v>0.18026769056031944</v>
      </c>
      <c r="G16" s="23"/>
    </row>
    <row r="17" spans="1:7" s="24" customFormat="1" ht="15.75" customHeight="1">
      <c r="A17" s="30">
        <f>A105</f>
        <v>0</v>
      </c>
      <c r="B17" s="35"/>
      <c r="C17" s="20"/>
      <c r="D17" s="20"/>
      <c r="E17" s="36">
        <f>F109</f>
        <v>2842.429313870667</v>
      </c>
      <c r="F17" s="22">
        <f t="shared" si="1"/>
        <v>0.23159674197018595</v>
      </c>
      <c r="G17" s="23"/>
    </row>
    <row r="18" spans="1:7" s="4" customFormat="1" ht="15.75" customHeight="1">
      <c r="A18" s="37" t="s">
        <v>7</v>
      </c>
      <c r="B18" s="38"/>
      <c r="C18" s="39"/>
      <c r="D18" s="39"/>
      <c r="E18" s="40">
        <f>E8+E13+E17+E15+E16</f>
        <v>12273.183507204001</v>
      </c>
      <c r="F18" s="41">
        <f>F8+F13+F17+F15+F16</f>
        <v>1</v>
      </c>
      <c r="G18" s="2"/>
    </row>
    <row r="19" spans="1:7" s="4" customFormat="1" ht="15.75" customHeight="1">
      <c r="A19" s="42"/>
      <c r="B19" s="43"/>
      <c r="C19" s="23"/>
      <c r="D19" s="23"/>
      <c r="E19" s="44"/>
      <c r="F19" s="45"/>
      <c r="G19" s="2"/>
    </row>
    <row r="20" spans="1:7" s="4" customFormat="1" ht="15" customHeight="1">
      <c r="A20" s="12" t="s">
        <v>8</v>
      </c>
      <c r="B20" s="12"/>
      <c r="C20" s="12"/>
      <c r="D20" s="12"/>
      <c r="E20" s="12"/>
      <c r="F20" s="2"/>
      <c r="G20" s="2"/>
    </row>
    <row r="21" spans="1:7" s="4" customFormat="1" ht="15" customHeight="1">
      <c r="A21" s="46" t="s">
        <v>9</v>
      </c>
      <c r="B21" s="46"/>
      <c r="C21" s="46"/>
      <c r="D21" s="46"/>
      <c r="E21" s="47" t="s">
        <v>10</v>
      </c>
      <c r="F21" s="2"/>
      <c r="G21" s="2"/>
    </row>
    <row r="22" spans="1:7" s="4" customFormat="1" ht="15" customHeight="1">
      <c r="A22" s="48">
        <f>A34</f>
        <v>0</v>
      </c>
      <c r="B22" s="14"/>
      <c r="C22" s="14"/>
      <c r="D22" s="49"/>
      <c r="E22" s="50">
        <v>1</v>
      </c>
      <c r="F22" s="2"/>
      <c r="G22" s="2"/>
    </row>
    <row r="23" spans="1:7" s="4" customFormat="1" ht="15" customHeight="1">
      <c r="A23" s="51" t="s">
        <v>11</v>
      </c>
      <c r="B23" s="52"/>
      <c r="C23" s="52"/>
      <c r="D23" s="53"/>
      <c r="E23" s="54">
        <v>1567.81</v>
      </c>
      <c r="F23" s="2"/>
      <c r="G23" s="2"/>
    </row>
    <row r="24" spans="1:7" s="4" customFormat="1" ht="15" customHeight="1">
      <c r="A24" s="51" t="s">
        <v>12</v>
      </c>
      <c r="B24" s="52"/>
      <c r="C24" s="52"/>
      <c r="D24" s="53"/>
      <c r="E24" s="55">
        <v>20</v>
      </c>
      <c r="F24" s="2"/>
      <c r="G24" s="2"/>
    </row>
    <row r="25" spans="1:6" s="4" customFormat="1" ht="15" customHeight="1">
      <c r="A25" s="51" t="s">
        <v>13</v>
      </c>
      <c r="B25" s="52"/>
      <c r="C25" s="52"/>
      <c r="D25" s="53"/>
      <c r="E25" s="55">
        <v>220</v>
      </c>
      <c r="F25" s="2"/>
    </row>
    <row r="26" spans="1:6" s="4" customFormat="1" ht="15" customHeight="1">
      <c r="A26" s="18">
        <f>+A44</f>
        <v>0</v>
      </c>
      <c r="B26" s="27"/>
      <c r="C26" s="27"/>
      <c r="D26" s="56"/>
      <c r="E26" s="57">
        <v>1</v>
      </c>
      <c r="F26" s="2"/>
    </row>
    <row r="27" spans="1:6" s="4" customFormat="1" ht="15" customHeight="1">
      <c r="A27" s="51" t="s">
        <v>14</v>
      </c>
      <c r="B27" s="27"/>
      <c r="C27" s="27"/>
      <c r="D27" s="56"/>
      <c r="E27" s="58">
        <v>1346.46</v>
      </c>
      <c r="F27" s="2"/>
    </row>
    <row r="28" spans="1:7" s="4" customFormat="1" ht="15" customHeight="1">
      <c r="A28" s="25" t="s">
        <v>15</v>
      </c>
      <c r="B28" s="27"/>
      <c r="C28" s="27"/>
      <c r="D28" s="56"/>
      <c r="E28" s="57">
        <v>220</v>
      </c>
      <c r="F28" s="2"/>
      <c r="G28" s="2"/>
    </row>
    <row r="29" spans="1:7" s="4" customFormat="1" ht="15" customHeight="1">
      <c r="A29" s="59" t="s">
        <v>16</v>
      </c>
      <c r="B29" s="60"/>
      <c r="C29" s="60"/>
      <c r="D29" s="61"/>
      <c r="E29" s="62">
        <f>E22+E26</f>
        <v>2</v>
      </c>
      <c r="F29" s="2"/>
      <c r="G29" s="2"/>
    </row>
    <row r="30" spans="1:7" s="4" customFormat="1" ht="14.25" customHeight="1">
      <c r="A30" s="2"/>
      <c r="B30" s="2"/>
      <c r="C30" s="2"/>
      <c r="D30" s="63"/>
      <c r="E30" s="64"/>
      <c r="F30" s="1"/>
      <c r="G30" s="2"/>
    </row>
    <row r="31" spans="1:7" s="24" customFormat="1" ht="15.75" customHeight="1">
      <c r="A31" s="65" t="s">
        <v>17</v>
      </c>
      <c r="B31" s="66">
        <f>Horários!F17</f>
        <v>1</v>
      </c>
      <c r="C31" s="23"/>
      <c r="D31" s="67"/>
      <c r="E31" s="68"/>
      <c r="G31" s="23"/>
    </row>
    <row r="32" spans="1:7" s="4" customFormat="1" ht="15.75" customHeight="1">
      <c r="A32" s="2"/>
      <c r="B32" s="2"/>
      <c r="C32" s="2"/>
      <c r="D32" s="63"/>
      <c r="E32" s="64"/>
      <c r="F32" s="1"/>
      <c r="G32" s="2"/>
    </row>
    <row r="33" ht="12.75" customHeight="1">
      <c r="A33" s="24" t="s">
        <v>18</v>
      </c>
    </row>
    <row r="34" spans="1:6" ht="13.5" customHeight="1">
      <c r="A34" s="69" t="s">
        <v>19</v>
      </c>
      <c r="B34" s="69"/>
      <c r="C34" s="69"/>
      <c r="D34" s="69"/>
      <c r="E34" s="69"/>
      <c r="F34" s="69"/>
    </row>
    <row r="35" spans="1:6" ht="13.5" customHeight="1">
      <c r="A35" s="70" t="s">
        <v>20</v>
      </c>
      <c r="B35" s="71" t="s">
        <v>21</v>
      </c>
      <c r="C35" s="71" t="s">
        <v>10</v>
      </c>
      <c r="D35" s="72" t="s">
        <v>22</v>
      </c>
      <c r="E35" s="72" t="s">
        <v>23</v>
      </c>
      <c r="F35" s="73" t="s">
        <v>24</v>
      </c>
    </row>
    <row r="36" spans="1:5" ht="12.75" customHeight="1">
      <c r="A36" s="74" t="s">
        <v>11</v>
      </c>
      <c r="B36" s="75" t="s">
        <v>25</v>
      </c>
      <c r="C36" s="75">
        <v>1</v>
      </c>
      <c r="D36" s="76">
        <f>E23</f>
        <v>1567.81</v>
      </c>
      <c r="E36" s="77">
        <f>C36*D36</f>
        <v>1567.81</v>
      </c>
    </row>
    <row r="37" spans="1:8" ht="12.75" customHeight="1">
      <c r="A37" s="78" t="s">
        <v>12</v>
      </c>
      <c r="B37" s="79" t="s">
        <v>6</v>
      </c>
      <c r="C37" s="80">
        <f>E24</f>
        <v>20</v>
      </c>
      <c r="D37" s="81">
        <f>SUM(E36:E36)</f>
        <v>1567.81</v>
      </c>
      <c r="E37" s="82">
        <f>C37*D37/100</f>
        <v>313.56199999999995</v>
      </c>
      <c r="H37" s="74" t="s">
        <v>11</v>
      </c>
    </row>
    <row r="38" spans="1:8" ht="12.75" customHeight="1">
      <c r="A38" s="83" t="s">
        <v>26</v>
      </c>
      <c r="B38" s="84"/>
      <c r="C38" s="84"/>
      <c r="D38" s="85"/>
      <c r="E38" s="86">
        <f>SUM(E36:E37)</f>
        <v>1881.3719999999998</v>
      </c>
      <c r="H38" s="87" t="s">
        <v>26</v>
      </c>
    </row>
    <row r="39" spans="1:9" ht="12.75" customHeight="1">
      <c r="A39" s="78" t="s">
        <v>27</v>
      </c>
      <c r="B39" s="79" t="s">
        <v>6</v>
      </c>
      <c r="C39" s="88">
        <f>'2.Encargos Sociais'!$C$34*100</f>
        <v>68</v>
      </c>
      <c r="D39" s="81">
        <f>E36+E37</f>
        <v>1881.3719999999998</v>
      </c>
      <c r="E39" s="82">
        <f>D39*C39/100</f>
        <v>1279.33296</v>
      </c>
      <c r="H39" s="78" t="s">
        <v>27</v>
      </c>
      <c r="I39" s="89"/>
    </row>
    <row r="40" spans="1:8" ht="12.75" customHeight="1">
      <c r="A40" s="83" t="s">
        <v>28</v>
      </c>
      <c r="B40" s="84"/>
      <c r="C40" s="84"/>
      <c r="D40" s="85"/>
      <c r="E40" s="90">
        <f>E36+E37+E39</f>
        <v>3160.70496</v>
      </c>
      <c r="H40" s="87" t="s">
        <v>29</v>
      </c>
    </row>
    <row r="41" spans="1:8" ht="13.5" customHeight="1">
      <c r="A41" s="78" t="s">
        <v>30</v>
      </c>
      <c r="B41" s="79" t="s">
        <v>31</v>
      </c>
      <c r="C41" s="80">
        <f>E22</f>
        <v>1</v>
      </c>
      <c r="D41" s="81">
        <f>E40</f>
        <v>3160.70496</v>
      </c>
      <c r="E41" s="82">
        <f>C41*D41</f>
        <v>3160.70496</v>
      </c>
      <c r="H41" s="78" t="s">
        <v>30</v>
      </c>
    </row>
    <row r="42" spans="1:6" ht="13.5" customHeight="1">
      <c r="A42" s="91" t="s">
        <v>32</v>
      </c>
      <c r="D42" s="92" t="s">
        <v>33</v>
      </c>
      <c r="E42" s="93">
        <f>$B$31</f>
        <v>1</v>
      </c>
      <c r="F42" s="94">
        <f>(((E36+E39)*E42)+E37)*C41</f>
        <v>3160.70496</v>
      </c>
    </row>
    <row r="43" spans="1:9" ht="13.5" customHeight="1">
      <c r="A43" s="95"/>
      <c r="B43" s="95"/>
      <c r="C43" s="95"/>
      <c r="D43" s="95"/>
      <c r="E43" s="96"/>
      <c r="F43" s="97"/>
      <c r="I43" s="89"/>
    </row>
    <row r="44" ht="13.5" customHeight="1">
      <c r="A44" s="1" t="s">
        <v>34</v>
      </c>
    </row>
    <row r="45" spans="1:7" s="91" customFormat="1" ht="12.75" customHeight="1">
      <c r="A45" s="70" t="s">
        <v>20</v>
      </c>
      <c r="B45" s="71" t="s">
        <v>21</v>
      </c>
      <c r="C45" s="71" t="s">
        <v>10</v>
      </c>
      <c r="D45" s="72" t="s">
        <v>22</v>
      </c>
      <c r="E45" s="72" t="s">
        <v>23</v>
      </c>
      <c r="F45" s="73" t="s">
        <v>24</v>
      </c>
      <c r="G45" s="2"/>
    </row>
    <row r="46" spans="1:5" ht="13.5" customHeight="1">
      <c r="A46" s="74" t="s">
        <v>11</v>
      </c>
      <c r="B46" s="75" t="s">
        <v>25</v>
      </c>
      <c r="C46" s="75">
        <v>1</v>
      </c>
      <c r="D46" s="98">
        <f>E27</f>
        <v>1346.46</v>
      </c>
      <c r="E46" s="99">
        <f>C46*D46</f>
        <v>1346.46</v>
      </c>
    </row>
    <row r="47" spans="1:5" ht="12.75" customHeight="1">
      <c r="A47" s="78" t="s">
        <v>12</v>
      </c>
      <c r="B47" s="79" t="s">
        <v>6</v>
      </c>
      <c r="C47" s="80">
        <f>C37</f>
        <v>20</v>
      </c>
      <c r="D47" s="81">
        <f>SUM(E46:E46)</f>
        <v>1346.46</v>
      </c>
      <c r="E47" s="82">
        <f>C47*D47/100</f>
        <v>269.29200000000003</v>
      </c>
    </row>
    <row r="48" spans="1:7" s="24" customFormat="1" ht="12.75" customHeight="1">
      <c r="A48" s="78" t="s">
        <v>26</v>
      </c>
      <c r="B48" s="84"/>
      <c r="C48" s="84"/>
      <c r="D48" s="100"/>
      <c r="E48" s="86">
        <f>SUM(E46:E47)</f>
        <v>1615.752</v>
      </c>
      <c r="F48" s="23"/>
      <c r="G48" s="23"/>
    </row>
    <row r="49" spans="1:5" ht="12.75" customHeight="1">
      <c r="A49" s="78" t="s">
        <v>27</v>
      </c>
      <c r="B49" s="79" t="s">
        <v>6</v>
      </c>
      <c r="C49" s="88">
        <f>'2.Encargos Sociais'!$C$34*100</f>
        <v>68</v>
      </c>
      <c r="D49" s="101">
        <f>E48</f>
        <v>1615.752</v>
      </c>
      <c r="E49" s="102">
        <f>D49*C49/100</f>
        <v>1098.71136</v>
      </c>
    </row>
    <row r="50" spans="1:7" s="24" customFormat="1" ht="12.75" customHeight="1">
      <c r="A50" s="78" t="s">
        <v>29</v>
      </c>
      <c r="B50" s="103"/>
      <c r="C50" s="103"/>
      <c r="D50" s="104"/>
      <c r="E50" s="102">
        <f>E48+E49</f>
        <v>2714.4633599999997</v>
      </c>
      <c r="F50" s="23"/>
      <c r="G50" s="23"/>
    </row>
    <row r="51" spans="1:5" ht="13.5" customHeight="1">
      <c r="A51" s="78" t="s">
        <v>30</v>
      </c>
      <c r="B51" s="79" t="s">
        <v>31</v>
      </c>
      <c r="C51" s="80">
        <v>1</v>
      </c>
      <c r="D51" s="101">
        <f>E50</f>
        <v>2714.4633599999997</v>
      </c>
      <c r="E51" s="102">
        <f>C51*D51</f>
        <v>2714.4633599999997</v>
      </c>
    </row>
    <row r="52" spans="1:6" ht="14.25" customHeight="1">
      <c r="A52" s="105" t="s">
        <v>32</v>
      </c>
      <c r="B52" s="105"/>
      <c r="C52" s="105"/>
      <c r="D52" s="92" t="s">
        <v>33</v>
      </c>
      <c r="E52" s="93">
        <f>$B$31</f>
        <v>1</v>
      </c>
      <c r="F52" s="106">
        <f>E51*E52</f>
        <v>2714.4633599999997</v>
      </c>
    </row>
    <row r="53" spans="1:6" ht="12.75" customHeight="1">
      <c r="A53" s="107"/>
      <c r="B53" s="107"/>
      <c r="C53" s="107"/>
      <c r="D53" s="107"/>
      <c r="E53" s="96"/>
      <c r="F53" s="97"/>
    </row>
    <row r="54" spans="1:6" ht="12.75" customHeight="1">
      <c r="A54" s="108" t="s">
        <v>35</v>
      </c>
      <c r="B54" s="109"/>
      <c r="C54" s="108"/>
      <c r="D54" s="108"/>
      <c r="E54" s="110"/>
      <c r="F54" s="111"/>
    </row>
    <row r="55" spans="1:6" ht="12.75" customHeight="1">
      <c r="A55" s="112" t="s">
        <v>20</v>
      </c>
      <c r="B55" s="113" t="s">
        <v>21</v>
      </c>
      <c r="C55" s="113" t="s">
        <v>10</v>
      </c>
      <c r="D55" s="114" t="s">
        <v>22</v>
      </c>
      <c r="E55" s="114" t="s">
        <v>23</v>
      </c>
      <c r="F55" s="115" t="s">
        <v>24</v>
      </c>
    </row>
    <row r="56" spans="1:6" ht="12.75" customHeight="1">
      <c r="A56" s="116" t="s">
        <v>36</v>
      </c>
      <c r="B56" s="117" t="s">
        <v>37</v>
      </c>
      <c r="C56" s="118">
        <v>1</v>
      </c>
      <c r="D56" s="119">
        <v>3.5</v>
      </c>
      <c r="E56" s="120"/>
      <c r="F56" s="111"/>
    </row>
    <row r="57" spans="1:6" ht="12.75" customHeight="1">
      <c r="A57" s="116" t="s">
        <v>38</v>
      </c>
      <c r="B57" s="117" t="s">
        <v>39</v>
      </c>
      <c r="C57" s="121">
        <v>21</v>
      </c>
      <c r="D57" s="120"/>
      <c r="E57" s="120"/>
      <c r="F57" s="111"/>
    </row>
    <row r="58" spans="1:6" ht="12.75" customHeight="1">
      <c r="A58" s="116" t="s">
        <v>40</v>
      </c>
      <c r="B58" s="117" t="s">
        <v>41</v>
      </c>
      <c r="C58" s="122">
        <f>C41*2*(C57)</f>
        <v>42</v>
      </c>
      <c r="D58" s="123">
        <f>$D$56-((E38*0.06)/C58)</f>
        <v>0.8123257142857145</v>
      </c>
      <c r="E58" s="120">
        <f aca="true" t="shared" si="3" ref="E58:E59">_xlfn.IFERROR(C58*D58,"-")</f>
        <v>34.11768000000001</v>
      </c>
      <c r="F58" s="111"/>
    </row>
    <row r="59" spans="1:6" ht="12.75" customHeight="1">
      <c r="A59" s="124" t="s">
        <v>42</v>
      </c>
      <c r="B59" s="125" t="s">
        <v>41</v>
      </c>
      <c r="C59" s="122">
        <f>C51*2*(C57)</f>
        <v>42</v>
      </c>
      <c r="D59" s="123">
        <f>$D$56-((E48*0.06)/C59)</f>
        <v>1.1917828571428575</v>
      </c>
      <c r="E59" s="123">
        <f t="shared" si="3"/>
        <v>50.05488000000001</v>
      </c>
      <c r="F59" s="111"/>
    </row>
    <row r="60" spans="1:6" ht="12.75" customHeight="1">
      <c r="A60" s="108"/>
      <c r="B60" s="108"/>
      <c r="C60" s="108"/>
      <c r="D60" s="111"/>
      <c r="E60" s="111"/>
      <c r="F60" s="126">
        <f>SUM(E58:E59)</f>
        <v>84.17256000000002</v>
      </c>
    </row>
    <row r="61" spans="1:6" ht="12.75" customHeight="1">
      <c r="A61" s="107"/>
      <c r="B61" s="107"/>
      <c r="C61" s="107"/>
      <c r="D61" s="107"/>
      <c r="E61" s="96"/>
      <c r="F61" s="97"/>
    </row>
    <row r="62" spans="1:9" ht="13.5" customHeight="1">
      <c r="A62" s="1" t="s">
        <v>43</v>
      </c>
      <c r="F62" s="23"/>
      <c r="I62" s="127"/>
    </row>
    <row r="63" spans="1:11" ht="14.25" customHeight="1">
      <c r="A63" s="70" t="s">
        <v>20</v>
      </c>
      <c r="B63" s="71" t="s">
        <v>21</v>
      </c>
      <c r="C63" s="71" t="s">
        <v>10</v>
      </c>
      <c r="D63" s="72" t="s">
        <v>22</v>
      </c>
      <c r="E63" s="72" t="s">
        <v>23</v>
      </c>
      <c r="F63" s="73" t="s">
        <v>24</v>
      </c>
      <c r="K63" s="128"/>
    </row>
    <row r="64" spans="1:9" ht="14.25" customHeight="1">
      <c r="A64" s="78" t="s">
        <v>44</v>
      </c>
      <c r="B64" s="79" t="s">
        <v>45</v>
      </c>
      <c r="C64" s="129">
        <f>2*21</f>
        <v>42</v>
      </c>
      <c r="D64" s="130">
        <f>17.41*0.81</f>
        <v>14.102100000000002</v>
      </c>
      <c r="E64" s="131">
        <f>C64*D64</f>
        <v>592.2882000000001</v>
      </c>
      <c r="F64" s="23"/>
      <c r="I64" s="127"/>
    </row>
    <row r="65" spans="1:6" s="1" customFormat="1" ht="14.25" customHeight="1">
      <c r="A65" s="132" t="s">
        <v>46</v>
      </c>
      <c r="B65" s="132"/>
      <c r="D65" s="92" t="s">
        <v>33</v>
      </c>
      <c r="E65" s="93">
        <f>E42</f>
        <v>1</v>
      </c>
      <c r="F65" s="133">
        <f>SUM(E64:E64)*E65</f>
        <v>592.2882000000001</v>
      </c>
    </row>
    <row r="66" spans="1:7" ht="14.25" customHeight="1">
      <c r="A66" s="134"/>
      <c r="B66" s="134"/>
      <c r="D66" s="92"/>
      <c r="F66" s="135"/>
      <c r="G66" s="1"/>
    </row>
    <row r="67" spans="1:8" s="1" customFormat="1" ht="14.25" customHeight="1">
      <c r="A67" s="136" t="s">
        <v>47</v>
      </c>
      <c r="B67" s="137"/>
      <c r="C67" s="137"/>
      <c r="D67" s="138"/>
      <c r="E67" s="139"/>
      <c r="F67" s="140">
        <f>F65+F42+F52+F60</f>
        <v>6551.62908</v>
      </c>
      <c r="H67" s="141"/>
    </row>
    <row r="68" ht="15" customHeight="1"/>
    <row r="69" spans="1:7" ht="12.75" customHeight="1">
      <c r="A69" s="24" t="s">
        <v>48</v>
      </c>
      <c r="G69" s="1"/>
    </row>
    <row r="70" spans="1:7" ht="13.5" customHeight="1">
      <c r="A70" s="1" t="s">
        <v>49</v>
      </c>
      <c r="G70" s="1"/>
    </row>
    <row r="71" spans="1:6" s="1" customFormat="1" ht="27.75" customHeight="1">
      <c r="A71" s="70" t="s">
        <v>20</v>
      </c>
      <c r="B71" s="71" t="s">
        <v>21</v>
      </c>
      <c r="C71" s="142" t="s">
        <v>50</v>
      </c>
      <c r="D71" s="72" t="s">
        <v>22</v>
      </c>
      <c r="E71" s="72" t="s">
        <v>23</v>
      </c>
      <c r="F71" s="73" t="s">
        <v>24</v>
      </c>
    </row>
    <row r="72" spans="1:7" ht="12.75" customHeight="1">
      <c r="A72" s="78" t="s">
        <v>51</v>
      </c>
      <c r="B72" s="79" t="s">
        <v>45</v>
      </c>
      <c r="C72" s="143">
        <v>3</v>
      </c>
      <c r="D72" s="144">
        <v>55</v>
      </c>
      <c r="E72" s="145">
        <f aca="true" t="shared" si="4" ref="E72:E77">_xlfn.IFERROR(D72/C72,0)</f>
        <v>18.333333333333332</v>
      </c>
      <c r="G72" s="1"/>
    </row>
    <row r="73" spans="1:7" ht="12.75" customHeight="1">
      <c r="A73" s="78" t="s">
        <v>52</v>
      </c>
      <c r="B73" s="79" t="s">
        <v>45</v>
      </c>
      <c r="C73" s="143">
        <v>3</v>
      </c>
      <c r="D73" s="144">
        <v>40</v>
      </c>
      <c r="E73" s="145">
        <f t="shared" si="4"/>
        <v>13.333333333333334</v>
      </c>
      <c r="G73" s="1"/>
    </row>
    <row r="74" spans="1:7" ht="12.75" customHeight="1">
      <c r="A74" s="78" t="s">
        <v>53</v>
      </c>
      <c r="B74" s="79" t="s">
        <v>45</v>
      </c>
      <c r="C74" s="143">
        <v>3</v>
      </c>
      <c r="D74" s="144">
        <v>40</v>
      </c>
      <c r="E74" s="145">
        <f t="shared" si="4"/>
        <v>13.333333333333334</v>
      </c>
      <c r="G74" s="1"/>
    </row>
    <row r="75" spans="1:7" ht="13.5" customHeight="1">
      <c r="A75" s="78" t="s">
        <v>54</v>
      </c>
      <c r="B75" s="79" t="s">
        <v>55</v>
      </c>
      <c r="C75" s="143">
        <v>6</v>
      </c>
      <c r="D75" s="144">
        <v>50</v>
      </c>
      <c r="E75" s="145">
        <f t="shared" si="4"/>
        <v>8.333333333333334</v>
      </c>
      <c r="G75" s="1"/>
    </row>
    <row r="76" spans="1:7" ht="12.75" customHeight="1">
      <c r="A76" s="78" t="s">
        <v>56</v>
      </c>
      <c r="B76" s="79" t="s">
        <v>55</v>
      </c>
      <c r="C76" s="143">
        <v>0.05</v>
      </c>
      <c r="D76" s="144">
        <v>1</v>
      </c>
      <c r="E76" s="145">
        <f t="shared" si="4"/>
        <v>20</v>
      </c>
      <c r="F76" s="146"/>
      <c r="G76" s="146"/>
    </row>
    <row r="77" spans="1:7" ht="12.75" customHeight="1">
      <c r="A77" s="78" t="s">
        <v>57</v>
      </c>
      <c r="B77" s="79" t="s">
        <v>45</v>
      </c>
      <c r="C77" s="143">
        <v>6</v>
      </c>
      <c r="D77" s="144">
        <v>60</v>
      </c>
      <c r="E77" s="145">
        <f t="shared" si="4"/>
        <v>10</v>
      </c>
      <c r="F77" s="147"/>
      <c r="G77" s="147"/>
    </row>
    <row r="78" spans="1:5" ht="13.5" customHeight="1">
      <c r="A78" s="148" t="s">
        <v>58</v>
      </c>
      <c r="B78" s="148"/>
      <c r="C78" s="149">
        <f>C41+C51</f>
        <v>2</v>
      </c>
      <c r="D78" s="101">
        <f>+SUM(E72:E77)</f>
        <v>83.33333333333333</v>
      </c>
      <c r="E78" s="101">
        <f>C78*D78</f>
        <v>166.66666666666666</v>
      </c>
    </row>
    <row r="79" spans="4:6" ht="14.25" customHeight="1">
      <c r="D79" s="92" t="s">
        <v>33</v>
      </c>
      <c r="E79" s="150">
        <f>$B$31</f>
        <v>1</v>
      </c>
      <c r="F79" s="106">
        <f>E78*E79</f>
        <v>166.66666666666666</v>
      </c>
    </row>
    <row r="80" ht="11.25" customHeight="1">
      <c r="G80" s="1"/>
    </row>
    <row r="81" spans="1:6" s="1" customFormat="1" ht="14.25" customHeight="1">
      <c r="A81" s="136" t="s">
        <v>59</v>
      </c>
      <c r="B81" s="151"/>
      <c r="C81" s="151"/>
      <c r="D81" s="152"/>
      <c r="E81" s="153"/>
      <c r="F81" s="154">
        <f>+F79</f>
        <v>166.66666666666666</v>
      </c>
    </row>
    <row r="82" ht="11.25" customHeight="1">
      <c r="G82" s="1"/>
    </row>
    <row r="83" spans="1:7" ht="13.5" customHeight="1">
      <c r="A83" s="24" t="s">
        <v>60</v>
      </c>
      <c r="B83" s="134"/>
      <c r="D83" s="92"/>
      <c r="F83" s="135"/>
      <c r="G83" s="1"/>
    </row>
    <row r="84" spans="1:6" s="1" customFormat="1" ht="13.5" customHeight="1">
      <c r="A84" s="155" t="s">
        <v>20</v>
      </c>
      <c r="B84" s="155" t="s">
        <v>21</v>
      </c>
      <c r="C84" s="155" t="s">
        <v>10</v>
      </c>
      <c r="D84" s="155" t="s">
        <v>22</v>
      </c>
      <c r="E84" s="155" t="s">
        <v>23</v>
      </c>
      <c r="F84" s="155" t="s">
        <v>61</v>
      </c>
    </row>
    <row r="85" spans="1:6" s="1" customFormat="1" ht="12.75" customHeight="1">
      <c r="A85" s="78" t="s">
        <v>62</v>
      </c>
      <c r="B85" s="156" t="s">
        <v>63</v>
      </c>
      <c r="C85" s="157">
        <v>250</v>
      </c>
      <c r="D85" s="130">
        <v>2</v>
      </c>
      <c r="E85" s="131">
        <f>C85*D85</f>
        <v>500</v>
      </c>
      <c r="F85" s="158"/>
    </row>
    <row r="86" spans="1:6" s="1" customFormat="1" ht="11.25" customHeight="1">
      <c r="A86" s="134"/>
      <c r="B86" s="134"/>
      <c r="D86" s="92" t="s">
        <v>33</v>
      </c>
      <c r="E86" s="150">
        <v>1</v>
      </c>
      <c r="F86" s="158">
        <f>E85</f>
        <v>500</v>
      </c>
    </row>
    <row r="87" spans="1:6" s="1" customFormat="1" ht="11.25" customHeight="1">
      <c r="A87" s="134"/>
      <c r="B87" s="134"/>
      <c r="D87" s="92"/>
      <c r="E87" s="96"/>
      <c r="F87" s="135"/>
    </row>
    <row r="88" spans="1:6" s="1" customFormat="1" ht="11.25" customHeight="1">
      <c r="A88" s="159" t="s">
        <v>64</v>
      </c>
      <c r="B88" s="108"/>
      <c r="C88" s="108"/>
      <c r="D88" s="111"/>
      <c r="E88" s="111"/>
      <c r="F88" s="111"/>
    </row>
    <row r="89" spans="1:6" s="1" customFormat="1" ht="11.25" customHeight="1">
      <c r="A89" s="160" t="s">
        <v>65</v>
      </c>
      <c r="B89" s="108"/>
      <c r="C89" s="108"/>
      <c r="D89" s="111"/>
      <c r="E89" s="111"/>
      <c r="F89" s="111"/>
    </row>
    <row r="90" spans="1:6" s="1" customFormat="1" ht="11.25" customHeight="1">
      <c r="A90" s="112" t="s">
        <v>20</v>
      </c>
      <c r="B90" s="113" t="s">
        <v>21</v>
      </c>
      <c r="C90" s="113" t="s">
        <v>10</v>
      </c>
      <c r="D90" s="114" t="s">
        <v>22</v>
      </c>
      <c r="E90" s="114" t="s">
        <v>23</v>
      </c>
      <c r="F90" s="115" t="s">
        <v>24</v>
      </c>
    </row>
    <row r="91" spans="1:6" s="1" customFormat="1" ht="11.25" customHeight="1">
      <c r="A91" s="161" t="s">
        <v>66</v>
      </c>
      <c r="B91" s="125" t="s">
        <v>45</v>
      </c>
      <c r="C91" s="162">
        <v>1</v>
      </c>
      <c r="D91" s="163">
        <f>'Veículos Equip. Injeção'!C10+'Veículos Equip. Injeção'!C14</f>
        <v>278452</v>
      </c>
      <c r="E91" s="164">
        <f>C91*D91</f>
        <v>278452</v>
      </c>
      <c r="F91" s="111"/>
    </row>
    <row r="92" spans="1:6" s="1" customFormat="1" ht="11.25" customHeight="1">
      <c r="A92" s="116" t="s">
        <v>67</v>
      </c>
      <c r="B92" s="117" t="s">
        <v>68</v>
      </c>
      <c r="C92" s="165">
        <v>10</v>
      </c>
      <c r="D92" s="166"/>
      <c r="E92" s="167"/>
      <c r="F92" s="111"/>
    </row>
    <row r="93" spans="1:6" s="1" customFormat="1" ht="11.25" customHeight="1">
      <c r="A93" s="116" t="s">
        <v>69</v>
      </c>
      <c r="B93" s="117"/>
      <c r="C93" s="165">
        <v>5</v>
      </c>
      <c r="D93" s="167"/>
      <c r="E93" s="167"/>
      <c r="F93" s="168"/>
    </row>
    <row r="94" spans="1:6" s="1" customFormat="1" ht="11.25" customHeight="1">
      <c r="A94" s="116" t="s">
        <v>70</v>
      </c>
      <c r="B94" s="117" t="s">
        <v>6</v>
      </c>
      <c r="C94" s="169">
        <f>'5. Depreciação'!B12</f>
        <v>65.18</v>
      </c>
      <c r="D94" s="167">
        <f>E91</f>
        <v>278452</v>
      </c>
      <c r="E94" s="167">
        <f>C94*D94/100</f>
        <v>181495.01360000003</v>
      </c>
      <c r="F94" s="111"/>
    </row>
    <row r="95" spans="1:6" s="1" customFormat="1" ht="11.25" customHeight="1">
      <c r="A95" s="170" t="s">
        <v>71</v>
      </c>
      <c r="B95" s="171" t="s">
        <v>25</v>
      </c>
      <c r="C95" s="172">
        <f>C92*12</f>
        <v>120</v>
      </c>
      <c r="D95" s="173">
        <f>IF(C93&lt;=C92,E94,0)</f>
        <v>181495.01360000003</v>
      </c>
      <c r="E95" s="174">
        <f>_xlfn.IFERROR(D95/C95,0)</f>
        <v>1512.458446666667</v>
      </c>
      <c r="F95" s="111"/>
    </row>
    <row r="96" spans="1:6" s="1" customFormat="1" ht="11.25" customHeight="1">
      <c r="A96" s="116"/>
      <c r="B96" s="117"/>
      <c r="C96" s="175"/>
      <c r="D96" s="167"/>
      <c r="E96" s="167"/>
      <c r="F96" s="111"/>
    </row>
    <row r="97" spans="1:6" s="1" customFormat="1" ht="11.25" customHeight="1">
      <c r="A97" s="116" t="s">
        <v>72</v>
      </c>
      <c r="B97" s="117" t="s">
        <v>73</v>
      </c>
      <c r="C97" s="176">
        <v>1</v>
      </c>
      <c r="D97" s="177">
        <f>'Veículos Equip. Injeção'!C20</f>
        <v>700</v>
      </c>
      <c r="E97" s="178">
        <f>C97*D97</f>
        <v>700</v>
      </c>
      <c r="F97" s="111"/>
    </row>
    <row r="98" spans="1:6" s="1" customFormat="1" ht="11.25" customHeight="1" hidden="1">
      <c r="A98" s="116"/>
      <c r="B98" s="117"/>
      <c r="C98" s="176"/>
      <c r="D98" s="177"/>
      <c r="E98" s="178"/>
      <c r="F98" s="111"/>
    </row>
    <row r="99" spans="1:6" s="1" customFormat="1" ht="11.25" customHeight="1">
      <c r="A99" s="116"/>
      <c r="B99" s="117"/>
      <c r="C99" s="179"/>
      <c r="D99" s="167"/>
      <c r="E99" s="167"/>
      <c r="F99" s="111"/>
    </row>
    <row r="100" spans="1:6" s="1" customFormat="1" ht="11.25" customHeight="1">
      <c r="A100" s="180" t="s">
        <v>74</v>
      </c>
      <c r="B100" s="181" t="s">
        <v>45</v>
      </c>
      <c r="C100" s="182"/>
      <c r="D100" s="167"/>
      <c r="E100" s="174">
        <f>E95+E97+E98</f>
        <v>2212.458446666667</v>
      </c>
      <c r="F100" s="111"/>
    </row>
    <row r="101" spans="1:6" s="1" customFormat="1" ht="11.25" customHeight="1">
      <c r="A101" s="183"/>
      <c r="B101" s="183"/>
      <c r="C101" s="183"/>
      <c r="D101" s="184" t="s">
        <v>33</v>
      </c>
      <c r="E101" s="185">
        <v>1</v>
      </c>
      <c r="F101" s="186">
        <f>E100*E101</f>
        <v>2212.458446666667</v>
      </c>
    </row>
    <row r="102" spans="1:6" s="1" customFormat="1" ht="11.25" customHeight="1">
      <c r="A102" s="134"/>
      <c r="B102" s="134"/>
      <c r="D102" s="92"/>
      <c r="E102" s="96"/>
      <c r="F102" s="135"/>
    </row>
    <row r="103" spans="1:6" s="1" customFormat="1" ht="15.75" customHeight="1">
      <c r="A103" s="187" t="s">
        <v>75</v>
      </c>
      <c r="B103" s="188"/>
      <c r="C103" s="188"/>
      <c r="D103" s="189"/>
      <c r="E103" s="190"/>
      <c r="F103" s="126">
        <f>F67+F81+F86+F101</f>
        <v>9430.754193333334</v>
      </c>
    </row>
    <row r="104" ht="11.25" customHeight="1">
      <c r="G104" s="1"/>
    </row>
    <row r="105" spans="1:6" ht="13.5" customHeight="1">
      <c r="A105" s="67" t="s">
        <v>76</v>
      </c>
      <c r="B105" s="67"/>
      <c r="C105" s="67"/>
      <c r="D105" s="23"/>
      <c r="E105" s="23"/>
      <c r="F105" s="191"/>
    </row>
    <row r="106" spans="1:6" ht="12.75" customHeight="1">
      <c r="A106" s="155" t="s">
        <v>20</v>
      </c>
      <c r="B106" s="192" t="s">
        <v>21</v>
      </c>
      <c r="C106" s="192" t="s">
        <v>10</v>
      </c>
      <c r="D106" s="193" t="s">
        <v>22</v>
      </c>
      <c r="E106" s="193" t="s">
        <v>23</v>
      </c>
      <c r="F106" s="194" t="s">
        <v>24</v>
      </c>
    </row>
    <row r="107" spans="1:6" ht="12.75" customHeight="1">
      <c r="A107" s="195" t="s">
        <v>77</v>
      </c>
      <c r="B107" s="196" t="s">
        <v>6</v>
      </c>
      <c r="C107" s="197">
        <f>'4.BDI'!C18</f>
        <v>0.3014</v>
      </c>
      <c r="D107" s="198">
        <f>F103</f>
        <v>9430.754193333334</v>
      </c>
      <c r="E107" s="198">
        <f>D107*C107</f>
        <v>2842.429313870667</v>
      </c>
      <c r="F107" s="199"/>
    </row>
    <row r="108" spans="1:6" ht="13.5" customHeight="1">
      <c r="A108" s="200"/>
      <c r="B108" s="200"/>
      <c r="C108" s="200"/>
      <c r="D108" s="200"/>
      <c r="E108" s="200"/>
      <c r="F108" s="201"/>
    </row>
    <row r="109" spans="1:6" ht="14.25" customHeight="1">
      <c r="A109" s="202" t="s">
        <v>78</v>
      </c>
      <c r="B109" s="202"/>
      <c r="C109" s="202"/>
      <c r="D109" s="202"/>
      <c r="E109" s="202"/>
      <c r="F109" s="154">
        <f>E107</f>
        <v>2842.429313870667</v>
      </c>
    </row>
    <row r="110" ht="11.25" customHeight="1"/>
    <row r="111" spans="1:6" ht="24.75" customHeight="1">
      <c r="A111" s="203" t="s">
        <v>79</v>
      </c>
      <c r="B111" s="204"/>
      <c r="C111" s="204"/>
      <c r="D111" s="205"/>
      <c r="E111" s="206"/>
      <c r="F111" s="133">
        <f>F67+F81+F109+F86+F101</f>
        <v>12273.183507204001</v>
      </c>
    </row>
    <row r="112" spans="1:6" ht="13.5" customHeight="1">
      <c r="A112" s="67"/>
      <c r="B112" s="63"/>
      <c r="C112" s="63"/>
      <c r="F112" s="207"/>
    </row>
    <row r="113" spans="1:6" ht="13.5" customHeight="1">
      <c r="A113" s="208" t="s">
        <v>80</v>
      </c>
      <c r="B113" s="209"/>
      <c r="C113" s="209"/>
      <c r="D113" s="210"/>
      <c r="E113" s="210"/>
      <c r="F113" s="211">
        <v>183.33</v>
      </c>
    </row>
    <row r="114" spans="1:6" ht="13.5" customHeight="1">
      <c r="A114" s="67"/>
      <c r="B114" s="63"/>
      <c r="C114" s="63"/>
      <c r="F114" s="207"/>
    </row>
    <row r="115" spans="1:6" ht="13.5" customHeight="1">
      <c r="A115" s="203" t="s">
        <v>81</v>
      </c>
      <c r="B115" s="204"/>
      <c r="C115" s="204"/>
      <c r="D115" s="205"/>
      <c r="E115" s="206"/>
      <c r="F115" s="133">
        <f>F111/F113</f>
        <v>66.94585450937653</v>
      </c>
    </row>
    <row r="116" spans="1:7" ht="12" customHeight="1">
      <c r="A116" s="212"/>
      <c r="B116" s="212"/>
      <c r="C116" s="212"/>
      <c r="D116" s="213"/>
      <c r="E116" s="213"/>
      <c r="F116" s="213"/>
      <c r="G116" s="214"/>
    </row>
    <row r="117" ht="12.75" customHeight="1">
      <c r="A117" s="24" t="s">
        <v>84</v>
      </c>
    </row>
  </sheetData>
  <sheetProtection selectLockedCells="1" selectUnlockedCells="1"/>
  <mergeCells count="14">
    <mergeCell ref="A1:F1"/>
    <mergeCell ref="A2:F3"/>
    <mergeCell ref="A4:F4"/>
    <mergeCell ref="A6:F6"/>
    <mergeCell ref="A13:C13"/>
    <mergeCell ref="A20:E20"/>
    <mergeCell ref="A21:D21"/>
    <mergeCell ref="A34:F34"/>
    <mergeCell ref="A43:D43"/>
    <mergeCell ref="A52:C52"/>
    <mergeCell ref="A53:D53"/>
    <mergeCell ref="F76:G76"/>
    <mergeCell ref="A78:B78"/>
    <mergeCell ref="A109:E109"/>
  </mergeCells>
  <hyperlinks>
    <hyperlink ref="A89" location="AbaDeprec" display="4.1. Depreciação/manutenção "/>
  </hyperlinks>
  <printOptions horizontalCentered="1"/>
  <pageMargins left="0.5118055555555555" right="0.5118055555555555" top="0.15763888888888888" bottom="0.35486111111111107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3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1">
      <pane ySplit="1" topLeftCell="A99" activePane="bottomLeft" state="frozen"/>
      <selection pane="topLeft" activeCell="A1" sqref="A1"/>
      <selection pane="bottomLeft" activeCell="A117" sqref="A117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85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A33</f>
        <v>0</v>
      </c>
      <c r="B8" s="19"/>
      <c r="C8" s="20"/>
      <c r="D8" s="20"/>
      <c r="E8" s="21">
        <f>+F67</f>
        <v>6551.62908</v>
      </c>
      <c r="F8" s="22">
        <f aca="true" t="shared" si="1" ref="F8:F17">E8/$E$18</f>
        <v>0.5543265518074939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F42</f>
        <v>3160.70496</v>
      </c>
      <c r="F9" s="29">
        <f t="shared" si="1"/>
        <v>0.267423973543637</v>
      </c>
      <c r="G9" s="2"/>
    </row>
    <row r="10" spans="1:7" s="4" customFormat="1" ht="15.75" customHeight="1">
      <c r="A10" s="25">
        <f>A44</f>
        <v>0</v>
      </c>
      <c r="B10" s="26"/>
      <c r="C10" s="27"/>
      <c r="D10" s="27"/>
      <c r="E10" s="28">
        <f>F52</f>
        <v>2714.4633599999997</v>
      </c>
      <c r="F10" s="29">
        <f t="shared" si="1"/>
        <v>0.22966793388074158</v>
      </c>
      <c r="G10" s="2"/>
    </row>
    <row r="11" spans="1:7" s="4" customFormat="1" ht="15.75" customHeight="1">
      <c r="A11" s="25">
        <f>A54</f>
        <v>0</v>
      </c>
      <c r="B11" s="26"/>
      <c r="C11" s="27"/>
      <c r="D11" s="27"/>
      <c r="E11" s="28">
        <f>F60</f>
        <v>84.17256000000002</v>
      </c>
      <c r="F11" s="29">
        <f t="shared" si="1"/>
        <v>0.007121753135268976</v>
      </c>
      <c r="G11" s="2"/>
    </row>
    <row r="12" spans="1:7" s="4" customFormat="1" ht="15.75" customHeight="1">
      <c r="A12" s="25">
        <f>A62</f>
        <v>0</v>
      </c>
      <c r="B12" s="26"/>
      <c r="C12" s="27"/>
      <c r="D12" s="27"/>
      <c r="E12" s="28">
        <f>F65</f>
        <v>592.2882000000001</v>
      </c>
      <c r="F12" s="29">
        <f t="shared" si="1"/>
        <v>0.050112891247846306</v>
      </c>
      <c r="G12" s="2"/>
    </row>
    <row r="13" spans="1:7" s="24" customFormat="1" ht="15.75" customHeight="1">
      <c r="A13" s="30">
        <f aca="true" t="shared" si="2" ref="A13:A14">A69</f>
        <v>0</v>
      </c>
      <c r="B13" s="30"/>
      <c r="C13" s="30"/>
      <c r="D13" s="20"/>
      <c r="E13" s="21">
        <f>+F81</f>
        <v>166.66666666666666</v>
      </c>
      <c r="F13" s="22">
        <f t="shared" si="1"/>
        <v>0.01410149407215561</v>
      </c>
      <c r="G13" s="23"/>
    </row>
    <row r="14" spans="1:7" s="24" customFormat="1" ht="15.75" customHeight="1">
      <c r="A14" s="31">
        <f t="shared" si="2"/>
        <v>0</v>
      </c>
      <c r="B14" s="32"/>
      <c r="C14" s="32"/>
      <c r="D14" s="20"/>
      <c r="E14" s="33">
        <f>F79</f>
        <v>166.66666666666666</v>
      </c>
      <c r="F14" s="29">
        <f t="shared" si="1"/>
        <v>0.01410149407215561</v>
      </c>
      <c r="G14" s="23"/>
    </row>
    <row r="15" spans="1:7" s="24" customFormat="1" ht="15.75" customHeight="1">
      <c r="A15" s="30">
        <f>A83</f>
        <v>0</v>
      </c>
      <c r="B15" s="32"/>
      <c r="C15" s="32"/>
      <c r="D15" s="20"/>
      <c r="E15" s="34">
        <f>F86</f>
        <v>500</v>
      </c>
      <c r="F15" s="22">
        <f t="shared" si="1"/>
        <v>0.04230448221646683</v>
      </c>
      <c r="G15" s="23"/>
    </row>
    <row r="16" spans="1:7" s="24" customFormat="1" ht="15.75" customHeight="1">
      <c r="A16" s="30">
        <f>A88</f>
        <v>0</v>
      </c>
      <c r="B16" s="32"/>
      <c r="C16" s="32"/>
      <c r="D16" s="20"/>
      <c r="E16" s="34">
        <f>F101</f>
        <v>1863.5227483333335</v>
      </c>
      <c r="F16" s="22">
        <f t="shared" si="1"/>
        <v>0.1576707299336978</v>
      </c>
      <c r="G16" s="23"/>
    </row>
    <row r="17" spans="1:7" s="24" customFormat="1" ht="15.75" customHeight="1">
      <c r="A17" s="30">
        <f>A105</f>
        <v>0</v>
      </c>
      <c r="B17" s="35"/>
      <c r="C17" s="20"/>
      <c r="D17" s="20"/>
      <c r="E17" s="36">
        <f>F109</f>
        <v>2737.2600943929997</v>
      </c>
      <c r="F17" s="22">
        <f t="shared" si="1"/>
        <v>0.23159674197018595</v>
      </c>
      <c r="G17" s="23"/>
    </row>
    <row r="18" spans="1:7" s="4" customFormat="1" ht="15.75" customHeight="1">
      <c r="A18" s="37" t="s">
        <v>7</v>
      </c>
      <c r="B18" s="38"/>
      <c r="C18" s="39"/>
      <c r="D18" s="39"/>
      <c r="E18" s="40">
        <f>E8+E13+E17+E15+E16</f>
        <v>11819.078589392999</v>
      </c>
      <c r="F18" s="41">
        <f>F8+F13+F17+F15+F16</f>
        <v>1.0000000000000002</v>
      </c>
      <c r="G18" s="2"/>
    </row>
    <row r="19" spans="1:7" s="4" customFormat="1" ht="15.75" customHeight="1">
      <c r="A19" s="42"/>
      <c r="B19" s="43"/>
      <c r="C19" s="23"/>
      <c r="D19" s="23"/>
      <c r="E19" s="44"/>
      <c r="F19" s="45"/>
      <c r="G19" s="2"/>
    </row>
    <row r="20" spans="1:7" s="4" customFormat="1" ht="15" customHeight="1">
      <c r="A20" s="12" t="s">
        <v>8</v>
      </c>
      <c r="B20" s="12"/>
      <c r="C20" s="12"/>
      <c r="D20" s="12"/>
      <c r="E20" s="12"/>
      <c r="F20" s="2"/>
      <c r="G20" s="2"/>
    </row>
    <row r="21" spans="1:7" s="4" customFormat="1" ht="15" customHeight="1">
      <c r="A21" s="46" t="s">
        <v>9</v>
      </c>
      <c r="B21" s="46"/>
      <c r="C21" s="46"/>
      <c r="D21" s="46"/>
      <c r="E21" s="47" t="s">
        <v>10</v>
      </c>
      <c r="F21" s="2"/>
      <c r="G21" s="2"/>
    </row>
    <row r="22" spans="1:7" s="4" customFormat="1" ht="15" customHeight="1">
      <c r="A22" s="48">
        <f>A34</f>
        <v>0</v>
      </c>
      <c r="B22" s="14"/>
      <c r="C22" s="14"/>
      <c r="D22" s="49"/>
      <c r="E22" s="50">
        <v>1</v>
      </c>
      <c r="F22" s="2"/>
      <c r="G22" s="2"/>
    </row>
    <row r="23" spans="1:7" s="4" customFormat="1" ht="15" customHeight="1">
      <c r="A23" s="51" t="s">
        <v>11</v>
      </c>
      <c r="B23" s="52"/>
      <c r="C23" s="52"/>
      <c r="D23" s="53"/>
      <c r="E23" s="54">
        <v>1567.81</v>
      </c>
      <c r="F23" s="2"/>
      <c r="G23" s="2"/>
    </row>
    <row r="24" spans="1:7" s="4" customFormat="1" ht="15" customHeight="1">
      <c r="A24" s="51" t="s">
        <v>12</v>
      </c>
      <c r="B24" s="52"/>
      <c r="C24" s="52"/>
      <c r="D24" s="53"/>
      <c r="E24" s="55">
        <v>20</v>
      </c>
      <c r="F24" s="2"/>
      <c r="G24" s="2"/>
    </row>
    <row r="25" spans="1:6" s="4" customFormat="1" ht="15" customHeight="1">
      <c r="A25" s="51" t="s">
        <v>13</v>
      </c>
      <c r="B25" s="52"/>
      <c r="C25" s="52"/>
      <c r="D25" s="53"/>
      <c r="E25" s="55">
        <v>220</v>
      </c>
      <c r="F25" s="2"/>
    </row>
    <row r="26" spans="1:6" s="4" customFormat="1" ht="15" customHeight="1">
      <c r="A26" s="18">
        <f>+A44</f>
        <v>0</v>
      </c>
      <c r="B26" s="27"/>
      <c r="C26" s="27"/>
      <c r="D26" s="56"/>
      <c r="E26" s="57">
        <v>1</v>
      </c>
      <c r="F26" s="2"/>
    </row>
    <row r="27" spans="1:6" s="4" customFormat="1" ht="15" customHeight="1">
      <c r="A27" s="51" t="s">
        <v>14</v>
      </c>
      <c r="B27" s="27"/>
      <c r="C27" s="27"/>
      <c r="D27" s="56"/>
      <c r="E27" s="58">
        <v>1346.46</v>
      </c>
      <c r="F27" s="2"/>
    </row>
    <row r="28" spans="1:7" s="4" customFormat="1" ht="15" customHeight="1">
      <c r="A28" s="25" t="s">
        <v>15</v>
      </c>
      <c r="B28" s="27"/>
      <c r="C28" s="27"/>
      <c r="D28" s="56"/>
      <c r="E28" s="57">
        <v>220</v>
      </c>
      <c r="F28" s="2"/>
      <c r="G28" s="2"/>
    </row>
    <row r="29" spans="1:7" s="4" customFormat="1" ht="15" customHeight="1">
      <c r="A29" s="59" t="s">
        <v>16</v>
      </c>
      <c r="B29" s="60"/>
      <c r="C29" s="60"/>
      <c r="D29" s="61"/>
      <c r="E29" s="62">
        <f>E22+E26</f>
        <v>2</v>
      </c>
      <c r="F29" s="2"/>
      <c r="G29" s="2"/>
    </row>
    <row r="30" spans="1:7" s="4" customFormat="1" ht="14.25" customHeight="1">
      <c r="A30" s="2"/>
      <c r="B30" s="2"/>
      <c r="C30" s="2"/>
      <c r="D30" s="63"/>
      <c r="E30" s="64"/>
      <c r="F30" s="1"/>
      <c r="G30" s="2"/>
    </row>
    <row r="31" spans="1:7" s="24" customFormat="1" ht="15.75" customHeight="1">
      <c r="A31" s="65" t="s">
        <v>17</v>
      </c>
      <c r="B31" s="66">
        <f>Horários!F17</f>
        <v>1</v>
      </c>
      <c r="C31" s="23"/>
      <c r="D31" s="67"/>
      <c r="E31" s="68"/>
      <c r="G31" s="23"/>
    </row>
    <row r="32" spans="1:7" s="4" customFormat="1" ht="15.75" customHeight="1">
      <c r="A32" s="2"/>
      <c r="B32" s="2"/>
      <c r="C32" s="2"/>
      <c r="D32" s="63"/>
      <c r="E32" s="64"/>
      <c r="F32" s="1"/>
      <c r="G32" s="2"/>
    </row>
    <row r="33" ht="12.75" customHeight="1">
      <c r="A33" s="24" t="s">
        <v>18</v>
      </c>
    </row>
    <row r="34" spans="1:6" ht="13.5" customHeight="1">
      <c r="A34" s="69" t="s">
        <v>19</v>
      </c>
      <c r="B34" s="69"/>
      <c r="C34" s="69"/>
      <c r="D34" s="69"/>
      <c r="E34" s="69"/>
      <c r="F34" s="69"/>
    </row>
    <row r="35" spans="1:6" ht="13.5" customHeight="1">
      <c r="A35" s="70" t="s">
        <v>20</v>
      </c>
      <c r="B35" s="71" t="s">
        <v>21</v>
      </c>
      <c r="C35" s="71" t="s">
        <v>10</v>
      </c>
      <c r="D35" s="72" t="s">
        <v>22</v>
      </c>
      <c r="E35" s="72" t="s">
        <v>23</v>
      </c>
      <c r="F35" s="73" t="s">
        <v>24</v>
      </c>
    </row>
    <row r="36" spans="1:5" ht="12.75" customHeight="1">
      <c r="A36" s="74" t="s">
        <v>11</v>
      </c>
      <c r="B36" s="75" t="s">
        <v>25</v>
      </c>
      <c r="C36" s="75">
        <v>1</v>
      </c>
      <c r="D36" s="76">
        <f>E23</f>
        <v>1567.81</v>
      </c>
      <c r="E36" s="77">
        <f>C36*D36</f>
        <v>1567.81</v>
      </c>
    </row>
    <row r="37" spans="1:8" ht="12.75" customHeight="1">
      <c r="A37" s="78" t="s">
        <v>12</v>
      </c>
      <c r="B37" s="79" t="s">
        <v>6</v>
      </c>
      <c r="C37" s="80">
        <f>E24</f>
        <v>20</v>
      </c>
      <c r="D37" s="81">
        <f>SUM(E36:E36)</f>
        <v>1567.81</v>
      </c>
      <c r="E37" s="82">
        <f>C37*D37/100</f>
        <v>313.56199999999995</v>
      </c>
      <c r="H37" s="74" t="s">
        <v>11</v>
      </c>
    </row>
    <row r="38" spans="1:8" ht="12.75" customHeight="1">
      <c r="A38" s="83" t="s">
        <v>26</v>
      </c>
      <c r="B38" s="84"/>
      <c r="C38" s="84"/>
      <c r="D38" s="85"/>
      <c r="E38" s="86">
        <f>SUM(E36:E37)</f>
        <v>1881.3719999999998</v>
      </c>
      <c r="H38" s="87" t="s">
        <v>26</v>
      </c>
    </row>
    <row r="39" spans="1:9" ht="12.75" customHeight="1">
      <c r="A39" s="78" t="s">
        <v>27</v>
      </c>
      <c r="B39" s="79" t="s">
        <v>6</v>
      </c>
      <c r="C39" s="88">
        <f>'2.Encargos Sociais'!$C$34*100</f>
        <v>68</v>
      </c>
      <c r="D39" s="81">
        <f>E36+E37</f>
        <v>1881.3719999999998</v>
      </c>
      <c r="E39" s="82">
        <f>D39*C39/100</f>
        <v>1279.33296</v>
      </c>
      <c r="H39" s="78" t="s">
        <v>27</v>
      </c>
      <c r="I39" s="89"/>
    </row>
    <row r="40" spans="1:8" ht="12.75" customHeight="1">
      <c r="A40" s="83" t="s">
        <v>28</v>
      </c>
      <c r="B40" s="84"/>
      <c r="C40" s="84"/>
      <c r="D40" s="85"/>
      <c r="E40" s="90">
        <f>E36+E37+E39</f>
        <v>3160.70496</v>
      </c>
      <c r="H40" s="87" t="s">
        <v>29</v>
      </c>
    </row>
    <row r="41" spans="1:8" ht="13.5" customHeight="1">
      <c r="A41" s="78" t="s">
        <v>30</v>
      </c>
      <c r="B41" s="79" t="s">
        <v>31</v>
      </c>
      <c r="C41" s="80">
        <f>E22</f>
        <v>1</v>
      </c>
      <c r="D41" s="81">
        <f>E40</f>
        <v>3160.70496</v>
      </c>
      <c r="E41" s="82">
        <f>C41*D41</f>
        <v>3160.70496</v>
      </c>
      <c r="H41" s="78" t="s">
        <v>30</v>
      </c>
    </row>
    <row r="42" spans="1:6" ht="13.5" customHeight="1">
      <c r="A42" s="91" t="s">
        <v>32</v>
      </c>
      <c r="D42" s="92" t="s">
        <v>33</v>
      </c>
      <c r="E42" s="93">
        <f>$B$31</f>
        <v>1</v>
      </c>
      <c r="F42" s="94">
        <f>(((E36+E39)*E42)+E37)*C41</f>
        <v>3160.70496</v>
      </c>
    </row>
    <row r="43" spans="1:9" ht="13.5" customHeight="1">
      <c r="A43" s="95"/>
      <c r="B43" s="95"/>
      <c r="C43" s="95"/>
      <c r="D43" s="95"/>
      <c r="E43" s="96"/>
      <c r="F43" s="97"/>
      <c r="I43" s="89"/>
    </row>
    <row r="44" ht="13.5" customHeight="1">
      <c r="A44" s="1" t="s">
        <v>34</v>
      </c>
    </row>
    <row r="45" spans="1:7" s="91" customFormat="1" ht="12.75" customHeight="1">
      <c r="A45" s="70" t="s">
        <v>20</v>
      </c>
      <c r="B45" s="71" t="s">
        <v>21</v>
      </c>
      <c r="C45" s="71" t="s">
        <v>10</v>
      </c>
      <c r="D45" s="72" t="s">
        <v>22</v>
      </c>
      <c r="E45" s="72" t="s">
        <v>23</v>
      </c>
      <c r="F45" s="73" t="s">
        <v>24</v>
      </c>
      <c r="G45" s="2"/>
    </row>
    <row r="46" spans="1:5" ht="13.5" customHeight="1">
      <c r="A46" s="74" t="s">
        <v>11</v>
      </c>
      <c r="B46" s="75" t="s">
        <v>25</v>
      </c>
      <c r="C46" s="75">
        <v>1</v>
      </c>
      <c r="D46" s="98">
        <f>E27</f>
        <v>1346.46</v>
      </c>
      <c r="E46" s="99">
        <f>C46*D46</f>
        <v>1346.46</v>
      </c>
    </row>
    <row r="47" spans="1:5" ht="12.75" customHeight="1">
      <c r="A47" s="78" t="s">
        <v>12</v>
      </c>
      <c r="B47" s="79" t="s">
        <v>6</v>
      </c>
      <c r="C47" s="80">
        <f>C37</f>
        <v>20</v>
      </c>
      <c r="D47" s="81">
        <f>SUM(E46:E46)</f>
        <v>1346.46</v>
      </c>
      <c r="E47" s="82">
        <f>C47*D47/100</f>
        <v>269.29200000000003</v>
      </c>
    </row>
    <row r="48" spans="1:7" s="24" customFormat="1" ht="12.75" customHeight="1">
      <c r="A48" s="78" t="s">
        <v>26</v>
      </c>
      <c r="B48" s="84"/>
      <c r="C48" s="84"/>
      <c r="D48" s="100"/>
      <c r="E48" s="86">
        <f>SUM(E46:E47)</f>
        <v>1615.752</v>
      </c>
      <c r="F48" s="23"/>
      <c r="G48" s="23"/>
    </row>
    <row r="49" spans="1:5" ht="12.75" customHeight="1">
      <c r="A49" s="78" t="s">
        <v>27</v>
      </c>
      <c r="B49" s="79" t="s">
        <v>6</v>
      </c>
      <c r="C49" s="88">
        <f>'2.Encargos Sociais'!$C$34*100</f>
        <v>68</v>
      </c>
      <c r="D49" s="101">
        <f>E48</f>
        <v>1615.752</v>
      </c>
      <c r="E49" s="102">
        <f>D49*C49/100</f>
        <v>1098.71136</v>
      </c>
    </row>
    <row r="50" spans="1:7" s="24" customFormat="1" ht="12.75" customHeight="1">
      <c r="A50" s="78" t="s">
        <v>29</v>
      </c>
      <c r="B50" s="103"/>
      <c r="C50" s="103"/>
      <c r="D50" s="104"/>
      <c r="E50" s="102">
        <f>E48+E49</f>
        <v>2714.4633599999997</v>
      </c>
      <c r="F50" s="23"/>
      <c r="G50" s="23"/>
    </row>
    <row r="51" spans="1:5" ht="13.5" customHeight="1">
      <c r="A51" s="78" t="s">
        <v>30</v>
      </c>
      <c r="B51" s="79" t="s">
        <v>31</v>
      </c>
      <c r="C51" s="80">
        <v>1</v>
      </c>
      <c r="D51" s="101">
        <f>E50</f>
        <v>2714.4633599999997</v>
      </c>
      <c r="E51" s="102">
        <f>C51*D51</f>
        <v>2714.4633599999997</v>
      </c>
    </row>
    <row r="52" spans="1:6" ht="14.25" customHeight="1">
      <c r="A52" s="105" t="s">
        <v>32</v>
      </c>
      <c r="B52" s="105"/>
      <c r="C52" s="105"/>
      <c r="D52" s="92" t="s">
        <v>33</v>
      </c>
      <c r="E52" s="93">
        <f>$B$31</f>
        <v>1</v>
      </c>
      <c r="F52" s="106">
        <f>E51*E52</f>
        <v>2714.4633599999997</v>
      </c>
    </row>
    <row r="53" spans="1:6" ht="12.75" customHeight="1">
      <c r="A53" s="107"/>
      <c r="B53" s="107"/>
      <c r="C53" s="107"/>
      <c r="D53" s="107"/>
      <c r="E53" s="96"/>
      <c r="F53" s="97"/>
    </row>
    <row r="54" spans="1:6" ht="12.75" customHeight="1">
      <c r="A54" s="108" t="s">
        <v>35</v>
      </c>
      <c r="B54" s="109"/>
      <c r="C54" s="108"/>
      <c r="D54" s="108"/>
      <c r="E54" s="110"/>
      <c r="F54" s="111"/>
    </row>
    <row r="55" spans="1:6" ht="12.75" customHeight="1">
      <c r="A55" s="112" t="s">
        <v>20</v>
      </c>
      <c r="B55" s="113" t="s">
        <v>21</v>
      </c>
      <c r="C55" s="113" t="s">
        <v>10</v>
      </c>
      <c r="D55" s="114" t="s">
        <v>22</v>
      </c>
      <c r="E55" s="114" t="s">
        <v>23</v>
      </c>
      <c r="F55" s="115" t="s">
        <v>24</v>
      </c>
    </row>
    <row r="56" spans="1:6" ht="12.75" customHeight="1">
      <c r="A56" s="116" t="s">
        <v>36</v>
      </c>
      <c r="B56" s="117" t="s">
        <v>37</v>
      </c>
      <c r="C56" s="118">
        <v>1</v>
      </c>
      <c r="D56" s="119">
        <v>3.5</v>
      </c>
      <c r="E56" s="120"/>
      <c r="F56" s="111"/>
    </row>
    <row r="57" spans="1:6" ht="12.75" customHeight="1">
      <c r="A57" s="116" t="s">
        <v>38</v>
      </c>
      <c r="B57" s="117" t="s">
        <v>39</v>
      </c>
      <c r="C57" s="121">
        <v>21</v>
      </c>
      <c r="D57" s="120"/>
      <c r="E57" s="120"/>
      <c r="F57" s="111"/>
    </row>
    <row r="58" spans="1:6" ht="12.75" customHeight="1">
      <c r="A58" s="116" t="s">
        <v>40</v>
      </c>
      <c r="B58" s="117" t="s">
        <v>41</v>
      </c>
      <c r="C58" s="122">
        <f>C41*2*(C57)</f>
        <v>42</v>
      </c>
      <c r="D58" s="123">
        <f>$D$56-((E38*0.06)/C58)</f>
        <v>0.8123257142857145</v>
      </c>
      <c r="E58" s="120">
        <f aca="true" t="shared" si="3" ref="E58:E59">_xlfn.IFERROR(C58*D58,"-")</f>
        <v>34.11768000000001</v>
      </c>
      <c r="F58" s="111"/>
    </row>
    <row r="59" spans="1:6" ht="12.75" customHeight="1">
      <c r="A59" s="124" t="s">
        <v>42</v>
      </c>
      <c r="B59" s="125" t="s">
        <v>41</v>
      </c>
      <c r="C59" s="122">
        <f>C51*2*(C57)</f>
        <v>42</v>
      </c>
      <c r="D59" s="123">
        <f>$D$56-((E48*0.06)/C59)</f>
        <v>1.1917828571428575</v>
      </c>
      <c r="E59" s="123">
        <f t="shared" si="3"/>
        <v>50.05488000000001</v>
      </c>
      <c r="F59" s="111"/>
    </row>
    <row r="60" spans="1:6" ht="12.75" customHeight="1">
      <c r="A60" s="108"/>
      <c r="B60" s="108"/>
      <c r="C60" s="108"/>
      <c r="D60" s="111"/>
      <c r="E60" s="111"/>
      <c r="F60" s="126">
        <f>SUM(E58:E59)</f>
        <v>84.17256000000002</v>
      </c>
    </row>
    <row r="61" spans="1:6" ht="12.75" customHeight="1">
      <c r="A61" s="107"/>
      <c r="B61" s="107"/>
      <c r="C61" s="107"/>
      <c r="D61" s="107"/>
      <c r="E61" s="96"/>
      <c r="F61" s="97"/>
    </row>
    <row r="62" spans="1:9" ht="13.5" customHeight="1">
      <c r="A62" s="1" t="s">
        <v>43</v>
      </c>
      <c r="F62" s="23"/>
      <c r="I62" s="127"/>
    </row>
    <row r="63" spans="1:11" ht="14.25" customHeight="1">
      <c r="A63" s="70" t="s">
        <v>20</v>
      </c>
      <c r="B63" s="71" t="s">
        <v>21</v>
      </c>
      <c r="C63" s="71" t="s">
        <v>10</v>
      </c>
      <c r="D63" s="72" t="s">
        <v>22</v>
      </c>
      <c r="E63" s="72" t="s">
        <v>23</v>
      </c>
      <c r="F63" s="73" t="s">
        <v>24</v>
      </c>
      <c r="K63" s="128"/>
    </row>
    <row r="64" spans="1:9" ht="14.25" customHeight="1">
      <c r="A64" s="78" t="s">
        <v>44</v>
      </c>
      <c r="B64" s="79" t="s">
        <v>45</v>
      </c>
      <c r="C64" s="129">
        <f>2*21</f>
        <v>42</v>
      </c>
      <c r="D64" s="130">
        <f>17.41*0.81</f>
        <v>14.102100000000002</v>
      </c>
      <c r="E64" s="131">
        <f>C64*D64</f>
        <v>592.2882000000001</v>
      </c>
      <c r="F64" s="23"/>
      <c r="I64" s="127"/>
    </row>
    <row r="65" spans="1:6" s="1" customFormat="1" ht="14.25" customHeight="1">
      <c r="A65" s="132" t="s">
        <v>46</v>
      </c>
      <c r="B65" s="132"/>
      <c r="D65" s="92" t="s">
        <v>33</v>
      </c>
      <c r="E65" s="93">
        <f>E42</f>
        <v>1</v>
      </c>
      <c r="F65" s="133">
        <f>SUM(E64:E64)*E65</f>
        <v>592.2882000000001</v>
      </c>
    </row>
    <row r="66" spans="1:7" ht="14.25" customHeight="1">
      <c r="A66" s="134"/>
      <c r="B66" s="134"/>
      <c r="D66" s="92"/>
      <c r="F66" s="135"/>
      <c r="G66" s="1"/>
    </row>
    <row r="67" spans="1:8" s="1" customFormat="1" ht="14.25" customHeight="1">
      <c r="A67" s="136" t="s">
        <v>47</v>
      </c>
      <c r="B67" s="137"/>
      <c r="C67" s="137"/>
      <c r="D67" s="138"/>
      <c r="E67" s="139"/>
      <c r="F67" s="140">
        <f>F65+F42+F52+F60</f>
        <v>6551.62908</v>
      </c>
      <c r="H67" s="141"/>
    </row>
    <row r="68" ht="15" customHeight="1"/>
    <row r="69" spans="1:7" ht="12.75" customHeight="1">
      <c r="A69" s="24" t="s">
        <v>48</v>
      </c>
      <c r="G69" s="1"/>
    </row>
    <row r="70" spans="1:7" ht="13.5" customHeight="1">
      <c r="A70" s="1" t="s">
        <v>49</v>
      </c>
      <c r="G70" s="1"/>
    </row>
    <row r="71" spans="1:6" s="1" customFormat="1" ht="27.75" customHeight="1">
      <c r="A71" s="70" t="s">
        <v>20</v>
      </c>
      <c r="B71" s="71" t="s">
        <v>21</v>
      </c>
      <c r="C71" s="142" t="s">
        <v>50</v>
      </c>
      <c r="D71" s="72" t="s">
        <v>22</v>
      </c>
      <c r="E71" s="72" t="s">
        <v>23</v>
      </c>
      <c r="F71" s="73" t="s">
        <v>24</v>
      </c>
    </row>
    <row r="72" spans="1:7" ht="12.75" customHeight="1">
      <c r="A72" s="78" t="s">
        <v>51</v>
      </c>
      <c r="B72" s="79" t="s">
        <v>45</v>
      </c>
      <c r="C72" s="143">
        <v>3</v>
      </c>
      <c r="D72" s="144">
        <v>55</v>
      </c>
      <c r="E72" s="145">
        <f aca="true" t="shared" si="4" ref="E72:E77">_xlfn.IFERROR(D72/C72,0)</f>
        <v>18.333333333333332</v>
      </c>
      <c r="G72" s="1"/>
    </row>
    <row r="73" spans="1:7" ht="12.75" customHeight="1">
      <c r="A73" s="78" t="s">
        <v>52</v>
      </c>
      <c r="B73" s="79" t="s">
        <v>45</v>
      </c>
      <c r="C73" s="143">
        <v>3</v>
      </c>
      <c r="D73" s="144">
        <v>40</v>
      </c>
      <c r="E73" s="145">
        <f t="shared" si="4"/>
        <v>13.333333333333334</v>
      </c>
      <c r="G73" s="1"/>
    </row>
    <row r="74" spans="1:7" ht="12.75" customHeight="1">
      <c r="A74" s="78" t="s">
        <v>53</v>
      </c>
      <c r="B74" s="79" t="s">
        <v>45</v>
      </c>
      <c r="C74" s="143">
        <v>3</v>
      </c>
      <c r="D74" s="144">
        <v>40</v>
      </c>
      <c r="E74" s="145">
        <f t="shared" si="4"/>
        <v>13.333333333333334</v>
      </c>
      <c r="G74" s="1"/>
    </row>
    <row r="75" spans="1:7" ht="13.5" customHeight="1">
      <c r="A75" s="78" t="s">
        <v>54</v>
      </c>
      <c r="B75" s="79" t="s">
        <v>55</v>
      </c>
      <c r="C75" s="143">
        <v>6</v>
      </c>
      <c r="D75" s="144">
        <v>50</v>
      </c>
      <c r="E75" s="145">
        <f t="shared" si="4"/>
        <v>8.333333333333334</v>
      </c>
      <c r="G75" s="1"/>
    </row>
    <row r="76" spans="1:7" ht="12.75" customHeight="1">
      <c r="A76" s="78" t="s">
        <v>56</v>
      </c>
      <c r="B76" s="79" t="s">
        <v>55</v>
      </c>
      <c r="C76" s="143">
        <v>0.05</v>
      </c>
      <c r="D76" s="144">
        <v>1</v>
      </c>
      <c r="E76" s="145">
        <f t="shared" si="4"/>
        <v>20</v>
      </c>
      <c r="F76" s="146"/>
      <c r="G76" s="146"/>
    </row>
    <row r="77" spans="1:7" ht="12.75" customHeight="1">
      <c r="A77" s="78" t="s">
        <v>57</v>
      </c>
      <c r="B77" s="79" t="s">
        <v>45</v>
      </c>
      <c r="C77" s="143">
        <v>6</v>
      </c>
      <c r="D77" s="144">
        <v>60</v>
      </c>
      <c r="E77" s="145">
        <f t="shared" si="4"/>
        <v>10</v>
      </c>
      <c r="F77" s="147"/>
      <c r="G77" s="147"/>
    </row>
    <row r="78" spans="1:5" ht="13.5" customHeight="1">
      <c r="A78" s="148" t="s">
        <v>58</v>
      </c>
      <c r="B78" s="148"/>
      <c r="C78" s="149">
        <f>C41+C51</f>
        <v>2</v>
      </c>
      <c r="D78" s="101">
        <f>+SUM(E72:E77)</f>
        <v>83.33333333333333</v>
      </c>
      <c r="E78" s="101">
        <f>C78*D78</f>
        <v>166.66666666666666</v>
      </c>
    </row>
    <row r="79" spans="4:6" ht="14.25" customHeight="1">
      <c r="D79" s="92" t="s">
        <v>33</v>
      </c>
      <c r="E79" s="150">
        <f>$B$31</f>
        <v>1</v>
      </c>
      <c r="F79" s="106">
        <f>E78*E79</f>
        <v>166.66666666666666</v>
      </c>
    </row>
    <row r="80" ht="11.25" customHeight="1">
      <c r="G80" s="1"/>
    </row>
    <row r="81" spans="1:6" s="1" customFormat="1" ht="14.25" customHeight="1">
      <c r="A81" s="136" t="s">
        <v>59</v>
      </c>
      <c r="B81" s="151"/>
      <c r="C81" s="151"/>
      <c r="D81" s="152"/>
      <c r="E81" s="153"/>
      <c r="F81" s="154">
        <f>+F79</f>
        <v>166.66666666666666</v>
      </c>
    </row>
    <row r="82" ht="11.25" customHeight="1">
      <c r="G82" s="1"/>
    </row>
    <row r="83" spans="1:7" ht="13.5" customHeight="1">
      <c r="A83" s="24" t="s">
        <v>60</v>
      </c>
      <c r="B83" s="134"/>
      <c r="D83" s="92"/>
      <c r="F83" s="135"/>
      <c r="G83" s="1"/>
    </row>
    <row r="84" spans="1:6" s="1" customFormat="1" ht="13.5" customHeight="1">
      <c r="A84" s="155" t="s">
        <v>20</v>
      </c>
      <c r="B84" s="155" t="s">
        <v>21</v>
      </c>
      <c r="C84" s="155" t="s">
        <v>10</v>
      </c>
      <c r="D84" s="155" t="s">
        <v>22</v>
      </c>
      <c r="E84" s="155" t="s">
        <v>23</v>
      </c>
      <c r="F84" s="155" t="s">
        <v>61</v>
      </c>
    </row>
    <row r="85" spans="1:6" s="1" customFormat="1" ht="12.75" customHeight="1">
      <c r="A85" s="78" t="s">
        <v>62</v>
      </c>
      <c r="B85" s="156" t="s">
        <v>63</v>
      </c>
      <c r="C85" s="157">
        <v>250</v>
      </c>
      <c r="D85" s="130">
        <v>2</v>
      </c>
      <c r="E85" s="131">
        <f>C85*D85</f>
        <v>500</v>
      </c>
      <c r="F85" s="158"/>
    </row>
    <row r="86" spans="1:6" s="1" customFormat="1" ht="11.25" customHeight="1">
      <c r="A86" s="134"/>
      <c r="B86" s="134"/>
      <c r="D86" s="92" t="s">
        <v>33</v>
      </c>
      <c r="E86" s="150">
        <v>1</v>
      </c>
      <c r="F86" s="158">
        <f>E85</f>
        <v>500</v>
      </c>
    </row>
    <row r="87" spans="1:6" s="1" customFormat="1" ht="11.25" customHeight="1">
      <c r="A87" s="134"/>
      <c r="B87" s="134"/>
      <c r="D87" s="92"/>
      <c r="E87" s="96"/>
      <c r="F87" s="135"/>
    </row>
    <row r="88" spans="1:6" s="1" customFormat="1" ht="11.25" customHeight="1">
      <c r="A88" s="159" t="s">
        <v>64</v>
      </c>
      <c r="B88" s="108"/>
      <c r="C88" s="108"/>
      <c r="D88" s="111"/>
      <c r="E88" s="111"/>
      <c r="F88" s="111"/>
    </row>
    <row r="89" spans="1:6" s="1" customFormat="1" ht="11.25" customHeight="1">
      <c r="A89" s="160" t="s">
        <v>65</v>
      </c>
      <c r="B89" s="108"/>
      <c r="C89" s="108"/>
      <c r="D89" s="111"/>
      <c r="E89" s="111"/>
      <c r="F89" s="111"/>
    </row>
    <row r="90" spans="1:6" s="1" customFormat="1" ht="11.25" customHeight="1">
      <c r="A90" s="112" t="s">
        <v>20</v>
      </c>
      <c r="B90" s="113" t="s">
        <v>21</v>
      </c>
      <c r="C90" s="113" t="s">
        <v>10</v>
      </c>
      <c r="D90" s="114" t="s">
        <v>22</v>
      </c>
      <c r="E90" s="114" t="s">
        <v>23</v>
      </c>
      <c r="F90" s="115" t="s">
        <v>24</v>
      </c>
    </row>
    <row r="91" spans="1:6" s="1" customFormat="1" ht="11.25" customHeight="1">
      <c r="A91" s="161" t="s">
        <v>66</v>
      </c>
      <c r="B91" s="125" t="s">
        <v>45</v>
      </c>
      <c r="C91" s="162">
        <v>1</v>
      </c>
      <c r="D91" s="163">
        <f>'Veículos Equip Ar Condi'!C10+'Veículos Equip Ar Condi'!C16</f>
        <v>214211</v>
      </c>
      <c r="E91" s="164">
        <f>C91*D91</f>
        <v>214211</v>
      </c>
      <c r="F91" s="111"/>
    </row>
    <row r="92" spans="1:6" s="1" customFormat="1" ht="11.25" customHeight="1">
      <c r="A92" s="116" t="s">
        <v>67</v>
      </c>
      <c r="B92" s="117" t="s">
        <v>68</v>
      </c>
      <c r="C92" s="165">
        <v>10</v>
      </c>
      <c r="D92" s="166"/>
      <c r="E92" s="167"/>
      <c r="F92" s="111"/>
    </row>
    <row r="93" spans="1:6" s="1" customFormat="1" ht="11.25" customHeight="1">
      <c r="A93" s="116" t="s">
        <v>69</v>
      </c>
      <c r="B93" s="117"/>
      <c r="C93" s="165">
        <v>5</v>
      </c>
      <c r="D93" s="167"/>
      <c r="E93" s="167"/>
      <c r="F93" s="168"/>
    </row>
    <row r="94" spans="1:6" s="1" customFormat="1" ht="11.25" customHeight="1">
      <c r="A94" s="116" t="s">
        <v>70</v>
      </c>
      <c r="B94" s="117" t="s">
        <v>6</v>
      </c>
      <c r="C94" s="169">
        <f>'5. Depreciação'!B12</f>
        <v>65.18</v>
      </c>
      <c r="D94" s="167">
        <f>E91</f>
        <v>214211</v>
      </c>
      <c r="E94" s="167">
        <f>C94*D94/100</f>
        <v>139622.72980000003</v>
      </c>
      <c r="F94" s="111"/>
    </row>
    <row r="95" spans="1:6" s="1" customFormat="1" ht="11.25" customHeight="1">
      <c r="A95" s="170" t="s">
        <v>71</v>
      </c>
      <c r="B95" s="171" t="s">
        <v>25</v>
      </c>
      <c r="C95" s="172">
        <f>C92*12</f>
        <v>120</v>
      </c>
      <c r="D95" s="173">
        <f>IF(C93&lt;=C92,E94,0)</f>
        <v>139622.72980000003</v>
      </c>
      <c r="E95" s="174">
        <f>_xlfn.IFERROR(D95/C95,0)</f>
        <v>1163.5227483333335</v>
      </c>
      <c r="F95" s="111"/>
    </row>
    <row r="96" spans="1:6" s="1" customFormat="1" ht="11.25" customHeight="1">
      <c r="A96" s="116"/>
      <c r="B96" s="117"/>
      <c r="C96" s="175"/>
      <c r="D96" s="167"/>
      <c r="E96" s="167"/>
      <c r="F96" s="111"/>
    </row>
    <row r="97" spans="1:6" s="1" customFormat="1" ht="11.25" customHeight="1">
      <c r="A97" s="116" t="s">
        <v>72</v>
      </c>
      <c r="B97" s="117" t="s">
        <v>73</v>
      </c>
      <c r="C97" s="176">
        <v>1</v>
      </c>
      <c r="D97" s="177">
        <f>'Veículos Equip. Injeção'!C20</f>
        <v>700</v>
      </c>
      <c r="E97" s="178">
        <f>C97*D97</f>
        <v>700</v>
      </c>
      <c r="F97" s="111"/>
    </row>
    <row r="98" spans="1:6" s="1" customFormat="1" ht="11.25" customHeight="1" hidden="1">
      <c r="A98" s="116"/>
      <c r="B98" s="117"/>
      <c r="C98" s="176"/>
      <c r="D98" s="177"/>
      <c r="E98" s="178"/>
      <c r="F98" s="111"/>
    </row>
    <row r="99" spans="1:6" s="1" customFormat="1" ht="11.25" customHeight="1">
      <c r="A99" s="116"/>
      <c r="B99" s="117"/>
      <c r="C99" s="179"/>
      <c r="D99" s="167"/>
      <c r="E99" s="167"/>
      <c r="F99" s="111"/>
    </row>
    <row r="100" spans="1:6" s="1" customFormat="1" ht="11.25" customHeight="1">
      <c r="A100" s="180" t="s">
        <v>74</v>
      </c>
      <c r="B100" s="181" t="s">
        <v>45</v>
      </c>
      <c r="C100" s="182"/>
      <c r="D100" s="167"/>
      <c r="E100" s="174">
        <f>E95+E97+E98</f>
        <v>1863.5227483333335</v>
      </c>
      <c r="F100" s="111"/>
    </row>
    <row r="101" spans="1:6" s="1" customFormat="1" ht="11.25" customHeight="1">
      <c r="A101" s="183"/>
      <c r="B101" s="183"/>
      <c r="C101" s="183"/>
      <c r="D101" s="184" t="s">
        <v>33</v>
      </c>
      <c r="E101" s="185">
        <v>1</v>
      </c>
      <c r="F101" s="186">
        <f>E100*E101</f>
        <v>1863.5227483333335</v>
      </c>
    </row>
    <row r="102" spans="1:6" s="1" customFormat="1" ht="11.25" customHeight="1">
      <c r="A102" s="134"/>
      <c r="B102" s="134"/>
      <c r="D102" s="92"/>
      <c r="E102" s="96"/>
      <c r="F102" s="135"/>
    </row>
    <row r="103" spans="1:6" s="1" customFormat="1" ht="15.75" customHeight="1">
      <c r="A103" s="187" t="s">
        <v>75</v>
      </c>
      <c r="B103" s="188"/>
      <c r="C103" s="188"/>
      <c r="D103" s="189"/>
      <c r="E103" s="190"/>
      <c r="F103" s="126">
        <f>F67+F81+F86+F101</f>
        <v>9081.818495</v>
      </c>
    </row>
    <row r="104" ht="11.25" customHeight="1">
      <c r="G104" s="1"/>
    </row>
    <row r="105" spans="1:6" ht="13.5" customHeight="1">
      <c r="A105" s="67" t="s">
        <v>76</v>
      </c>
      <c r="B105" s="67"/>
      <c r="C105" s="67"/>
      <c r="D105" s="23"/>
      <c r="E105" s="23"/>
      <c r="F105" s="191"/>
    </row>
    <row r="106" spans="1:6" ht="12.75" customHeight="1">
      <c r="A106" s="155" t="s">
        <v>20</v>
      </c>
      <c r="B106" s="192" t="s">
        <v>21</v>
      </c>
      <c r="C106" s="192" t="s">
        <v>10</v>
      </c>
      <c r="D106" s="193" t="s">
        <v>22</v>
      </c>
      <c r="E106" s="193" t="s">
        <v>23</v>
      </c>
      <c r="F106" s="194" t="s">
        <v>24</v>
      </c>
    </row>
    <row r="107" spans="1:6" ht="12.75" customHeight="1">
      <c r="A107" s="195" t="s">
        <v>77</v>
      </c>
      <c r="B107" s="196" t="s">
        <v>6</v>
      </c>
      <c r="C107" s="197">
        <f>'4.BDI'!C18</f>
        <v>0.3014</v>
      </c>
      <c r="D107" s="198">
        <f>F103</f>
        <v>9081.818495</v>
      </c>
      <c r="E107" s="198">
        <f>D107*C107</f>
        <v>2737.2600943929997</v>
      </c>
      <c r="F107" s="199"/>
    </row>
    <row r="108" spans="1:6" ht="13.5" customHeight="1">
      <c r="A108" s="200"/>
      <c r="B108" s="200"/>
      <c r="C108" s="200"/>
      <c r="D108" s="200"/>
      <c r="E108" s="200"/>
      <c r="F108" s="201"/>
    </row>
    <row r="109" spans="1:6" ht="14.25" customHeight="1">
      <c r="A109" s="202" t="s">
        <v>78</v>
      </c>
      <c r="B109" s="202"/>
      <c r="C109" s="202"/>
      <c r="D109" s="202"/>
      <c r="E109" s="202"/>
      <c r="F109" s="154">
        <f>E107</f>
        <v>2737.2600943929997</v>
      </c>
    </row>
    <row r="110" ht="11.25" customHeight="1"/>
    <row r="111" spans="1:6" ht="24.75" customHeight="1">
      <c r="A111" s="203" t="s">
        <v>79</v>
      </c>
      <c r="B111" s="204"/>
      <c r="C111" s="204"/>
      <c r="D111" s="205"/>
      <c r="E111" s="206"/>
      <c r="F111" s="133">
        <f>F67+F81+F109+F86+F101</f>
        <v>11819.078589392999</v>
      </c>
    </row>
    <row r="112" spans="1:6" ht="13.5" customHeight="1">
      <c r="A112" s="67"/>
      <c r="B112" s="63"/>
      <c r="C112" s="63"/>
      <c r="F112" s="207"/>
    </row>
    <row r="113" spans="1:6" ht="13.5" customHeight="1">
      <c r="A113" s="208" t="s">
        <v>80</v>
      </c>
      <c r="B113" s="209"/>
      <c r="C113" s="209"/>
      <c r="D113" s="210"/>
      <c r="E113" s="210"/>
      <c r="F113" s="211">
        <v>183.33</v>
      </c>
    </row>
    <row r="114" spans="1:6" ht="13.5" customHeight="1">
      <c r="A114" s="67"/>
      <c r="B114" s="63"/>
      <c r="C114" s="63"/>
      <c r="F114" s="207"/>
    </row>
    <row r="115" spans="1:6" ht="13.5" customHeight="1">
      <c r="A115" s="203" t="s">
        <v>86</v>
      </c>
      <c r="B115" s="204"/>
      <c r="C115" s="204"/>
      <c r="D115" s="205"/>
      <c r="E115" s="206"/>
      <c r="F115" s="133">
        <f>F111/F113</f>
        <v>64.4688735580265</v>
      </c>
    </row>
    <row r="116" spans="1:7" ht="12" customHeight="1">
      <c r="A116" s="212"/>
      <c r="B116" s="212"/>
      <c r="C116" s="212"/>
      <c r="D116" s="213"/>
      <c r="E116" s="213"/>
      <c r="F116" s="213"/>
      <c r="G116" s="214"/>
    </row>
    <row r="117" ht="12.75" customHeight="1">
      <c r="A117" s="24" t="s">
        <v>84</v>
      </c>
    </row>
  </sheetData>
  <sheetProtection selectLockedCells="1" selectUnlockedCells="1"/>
  <mergeCells count="14">
    <mergeCell ref="A1:F1"/>
    <mergeCell ref="A2:F3"/>
    <mergeCell ref="A4:F4"/>
    <mergeCell ref="A6:F6"/>
    <mergeCell ref="A13:C13"/>
    <mergeCell ref="A20:E20"/>
    <mergeCell ref="A21:D21"/>
    <mergeCell ref="A34:F34"/>
    <mergeCell ref="A43:D43"/>
    <mergeCell ref="A52:C52"/>
    <mergeCell ref="A53:D53"/>
    <mergeCell ref="F76:G76"/>
    <mergeCell ref="A78:B78"/>
    <mergeCell ref="A109:E109"/>
  </mergeCells>
  <hyperlinks>
    <hyperlink ref="A89" location="AbaDeprec" display="4.1. Depreciação/manutenção "/>
  </hyperlinks>
  <printOptions horizontalCentered="1"/>
  <pageMargins left="0.5118055555555555" right="0.5118055555555555" top="0.15763888888888888" bottom="0.35486111111111107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1">
      <pane ySplit="1" topLeftCell="A108" activePane="bottomLeft" state="frozen"/>
      <selection pane="topLeft" activeCell="A1" sqref="A1"/>
      <selection pane="bottomLeft" activeCell="A117" sqref="A117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87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A33</f>
        <v>0</v>
      </c>
      <c r="B8" s="19"/>
      <c r="C8" s="20"/>
      <c r="D8" s="20"/>
      <c r="E8" s="21">
        <f>+F67</f>
        <v>6551.62908</v>
      </c>
      <c r="F8" s="22">
        <f aca="true" t="shared" si="1" ref="F8:F17">E8/$E$18</f>
        <v>0.5530563845109412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F42</f>
        <v>3160.70496</v>
      </c>
      <c r="F9" s="29">
        <f t="shared" si="1"/>
        <v>0.266811206241761</v>
      </c>
      <c r="G9" s="2"/>
    </row>
    <row r="10" spans="1:7" s="4" customFormat="1" ht="15.75" customHeight="1">
      <c r="A10" s="25">
        <f>A44</f>
        <v>0</v>
      </c>
      <c r="B10" s="26"/>
      <c r="C10" s="27"/>
      <c r="D10" s="27"/>
      <c r="E10" s="28">
        <f>F52</f>
        <v>2714.4633599999997</v>
      </c>
      <c r="F10" s="29">
        <f t="shared" si="1"/>
        <v>0.22914167963993182</v>
      </c>
      <c r="G10" s="2"/>
    </row>
    <row r="11" spans="1:7" s="4" customFormat="1" ht="15.75" customHeight="1">
      <c r="A11" s="25">
        <f>A54</f>
        <v>0</v>
      </c>
      <c r="B11" s="26"/>
      <c r="C11" s="27"/>
      <c r="D11" s="27"/>
      <c r="E11" s="28">
        <f>F60</f>
        <v>84.17256000000002</v>
      </c>
      <c r="F11" s="29">
        <f t="shared" si="1"/>
        <v>0.007105434562945416</v>
      </c>
      <c r="G11" s="2"/>
    </row>
    <row r="12" spans="1:7" s="4" customFormat="1" ht="15.75" customHeight="1">
      <c r="A12" s="25">
        <f>A62</f>
        <v>0</v>
      </c>
      <c r="B12" s="26"/>
      <c r="C12" s="27"/>
      <c r="D12" s="27"/>
      <c r="E12" s="28">
        <f>F65</f>
        <v>592.2882000000001</v>
      </c>
      <c r="F12" s="29">
        <f t="shared" si="1"/>
        <v>0.04999806406630292</v>
      </c>
      <c r="G12" s="2"/>
    </row>
    <row r="13" spans="1:7" s="24" customFormat="1" ht="15.75" customHeight="1">
      <c r="A13" s="30">
        <f aca="true" t="shared" si="2" ref="A13:A14">A69</f>
        <v>0</v>
      </c>
      <c r="B13" s="30"/>
      <c r="C13" s="30"/>
      <c r="D13" s="20"/>
      <c r="E13" s="21">
        <f>+F81</f>
        <v>166.66666666666666</v>
      </c>
      <c r="F13" s="22">
        <f t="shared" si="1"/>
        <v>0.014069182330016286</v>
      </c>
      <c r="G13" s="23"/>
    </row>
    <row r="14" spans="1:7" s="24" customFormat="1" ht="15.75" customHeight="1">
      <c r="A14" s="31">
        <f t="shared" si="2"/>
        <v>0</v>
      </c>
      <c r="B14" s="32"/>
      <c r="C14" s="32"/>
      <c r="D14" s="20"/>
      <c r="E14" s="33">
        <f>F79</f>
        <v>166.66666666666666</v>
      </c>
      <c r="F14" s="29">
        <f t="shared" si="1"/>
        <v>0.014069182330016286</v>
      </c>
      <c r="G14" s="23"/>
    </row>
    <row r="15" spans="1:7" s="24" customFormat="1" ht="15.75" customHeight="1">
      <c r="A15" s="30">
        <f>A83</f>
        <v>0</v>
      </c>
      <c r="B15" s="32"/>
      <c r="C15" s="32"/>
      <c r="D15" s="20"/>
      <c r="E15" s="34">
        <f>F86</f>
        <v>500</v>
      </c>
      <c r="F15" s="22">
        <f t="shared" si="1"/>
        <v>0.04220754699004886</v>
      </c>
      <c r="G15" s="23"/>
    </row>
    <row r="16" spans="1:7" s="24" customFormat="1" ht="15.75" customHeight="1">
      <c r="A16" s="30">
        <f>A88</f>
        <v>0</v>
      </c>
      <c r="B16" s="32"/>
      <c r="C16" s="32"/>
      <c r="D16" s="20"/>
      <c r="E16" s="34">
        <f>F101</f>
        <v>1884.3803483333334</v>
      </c>
      <c r="F16" s="22">
        <f t="shared" si="1"/>
        <v>0.15907014419880763</v>
      </c>
      <c r="G16" s="23"/>
    </row>
    <row r="17" spans="1:7" s="24" customFormat="1" ht="15.75" customHeight="1">
      <c r="A17" s="30">
        <f>A105</f>
        <v>0</v>
      </c>
      <c r="B17" s="35"/>
      <c r="C17" s="20"/>
      <c r="D17" s="20"/>
      <c r="E17" s="36">
        <f>F109</f>
        <v>2743.5465750330004</v>
      </c>
      <c r="F17" s="22">
        <f t="shared" si="1"/>
        <v>0.23159674197018595</v>
      </c>
      <c r="G17" s="23"/>
    </row>
    <row r="18" spans="1:7" s="4" customFormat="1" ht="15.75" customHeight="1">
      <c r="A18" s="37" t="s">
        <v>7</v>
      </c>
      <c r="B18" s="38"/>
      <c r="C18" s="39"/>
      <c r="D18" s="39"/>
      <c r="E18" s="40">
        <f>E8+E13+E17+E15+E16</f>
        <v>11846.222670033001</v>
      </c>
      <c r="F18" s="41">
        <f>F8+F13+F17+F15+F16</f>
        <v>1</v>
      </c>
      <c r="G18" s="2"/>
    </row>
    <row r="19" spans="1:7" s="4" customFormat="1" ht="15.75" customHeight="1">
      <c r="A19" s="42"/>
      <c r="B19" s="43"/>
      <c r="C19" s="23"/>
      <c r="D19" s="23"/>
      <c r="E19" s="44"/>
      <c r="F19" s="45"/>
      <c r="G19" s="2"/>
    </row>
    <row r="20" spans="1:7" s="4" customFormat="1" ht="15" customHeight="1">
      <c r="A20" s="12" t="s">
        <v>8</v>
      </c>
      <c r="B20" s="12"/>
      <c r="C20" s="12"/>
      <c r="D20" s="12"/>
      <c r="E20" s="12"/>
      <c r="F20" s="2"/>
      <c r="G20" s="2"/>
    </row>
    <row r="21" spans="1:7" s="4" customFormat="1" ht="15" customHeight="1">
      <c r="A21" s="46" t="s">
        <v>9</v>
      </c>
      <c r="B21" s="46"/>
      <c r="C21" s="46"/>
      <c r="D21" s="46"/>
      <c r="E21" s="47" t="s">
        <v>10</v>
      </c>
      <c r="F21" s="2"/>
      <c r="G21" s="2"/>
    </row>
    <row r="22" spans="1:7" s="4" customFormat="1" ht="15" customHeight="1">
      <c r="A22" s="48">
        <f>A34</f>
        <v>0</v>
      </c>
      <c r="B22" s="14"/>
      <c r="C22" s="14"/>
      <c r="D22" s="49"/>
      <c r="E22" s="50">
        <v>1</v>
      </c>
      <c r="F22" s="2"/>
      <c r="G22" s="2"/>
    </row>
    <row r="23" spans="1:7" s="4" customFormat="1" ht="15" customHeight="1">
      <c r="A23" s="51" t="s">
        <v>11</v>
      </c>
      <c r="B23" s="52"/>
      <c r="C23" s="52"/>
      <c r="D23" s="53"/>
      <c r="E23" s="54">
        <v>1567.81</v>
      </c>
      <c r="F23" s="2"/>
      <c r="G23" s="2"/>
    </row>
    <row r="24" spans="1:7" s="4" customFormat="1" ht="15" customHeight="1">
      <c r="A24" s="51" t="s">
        <v>12</v>
      </c>
      <c r="B24" s="52"/>
      <c r="C24" s="52"/>
      <c r="D24" s="53"/>
      <c r="E24" s="55">
        <v>20</v>
      </c>
      <c r="F24" s="2"/>
      <c r="G24" s="2"/>
    </row>
    <row r="25" spans="1:6" s="4" customFormat="1" ht="15" customHeight="1">
      <c r="A25" s="51" t="s">
        <v>13</v>
      </c>
      <c r="B25" s="52"/>
      <c r="C25" s="52"/>
      <c r="D25" s="53"/>
      <c r="E25" s="55">
        <v>220</v>
      </c>
      <c r="F25" s="2"/>
    </row>
    <row r="26" spans="1:6" s="4" customFormat="1" ht="15" customHeight="1">
      <c r="A26" s="18">
        <f>+A44</f>
        <v>0</v>
      </c>
      <c r="B26" s="27"/>
      <c r="C26" s="27"/>
      <c r="D26" s="56"/>
      <c r="E26" s="57">
        <v>1</v>
      </c>
      <c r="F26" s="2"/>
    </row>
    <row r="27" spans="1:6" s="4" customFormat="1" ht="15" customHeight="1">
      <c r="A27" s="51" t="s">
        <v>14</v>
      </c>
      <c r="B27" s="27"/>
      <c r="C27" s="27"/>
      <c r="D27" s="56"/>
      <c r="E27" s="58">
        <v>1346.46</v>
      </c>
      <c r="F27" s="2"/>
    </row>
    <row r="28" spans="1:7" s="4" customFormat="1" ht="15" customHeight="1">
      <c r="A28" s="25" t="s">
        <v>15</v>
      </c>
      <c r="B28" s="27"/>
      <c r="C28" s="27"/>
      <c r="D28" s="56"/>
      <c r="E28" s="57">
        <v>220</v>
      </c>
      <c r="F28" s="2"/>
      <c r="G28" s="2"/>
    </row>
    <row r="29" spans="1:7" s="4" customFormat="1" ht="15" customHeight="1">
      <c r="A29" s="59" t="s">
        <v>16</v>
      </c>
      <c r="B29" s="60"/>
      <c r="C29" s="60"/>
      <c r="D29" s="61"/>
      <c r="E29" s="62">
        <f>E22+E26</f>
        <v>2</v>
      </c>
      <c r="F29" s="2"/>
      <c r="G29" s="2"/>
    </row>
    <row r="30" spans="1:7" s="4" customFormat="1" ht="14.25" customHeight="1">
      <c r="A30" s="2"/>
      <c r="B30" s="2"/>
      <c r="C30" s="2"/>
      <c r="D30" s="63"/>
      <c r="E30" s="64"/>
      <c r="F30" s="1"/>
      <c r="G30" s="2"/>
    </row>
    <row r="31" spans="1:7" s="24" customFormat="1" ht="15.75" customHeight="1">
      <c r="A31" s="65" t="s">
        <v>17</v>
      </c>
      <c r="B31" s="66">
        <f>Horários!F17</f>
        <v>1</v>
      </c>
      <c r="C31" s="23"/>
      <c r="D31" s="67"/>
      <c r="E31" s="68"/>
      <c r="G31" s="23"/>
    </row>
    <row r="32" spans="1:7" s="4" customFormat="1" ht="15.75" customHeight="1">
      <c r="A32" s="2"/>
      <c r="B32" s="2"/>
      <c r="C32" s="2"/>
      <c r="D32" s="63"/>
      <c r="E32" s="64"/>
      <c r="F32" s="1"/>
      <c r="G32" s="2"/>
    </row>
    <row r="33" ht="12.75" customHeight="1">
      <c r="A33" s="24" t="s">
        <v>18</v>
      </c>
    </row>
    <row r="34" spans="1:6" ht="13.5" customHeight="1">
      <c r="A34" s="69" t="s">
        <v>88</v>
      </c>
      <c r="B34" s="69"/>
      <c r="C34" s="69"/>
      <c r="D34" s="69"/>
      <c r="E34" s="69"/>
      <c r="F34" s="69"/>
    </row>
    <row r="35" spans="1:6" ht="13.5" customHeight="1">
      <c r="A35" s="70" t="s">
        <v>20</v>
      </c>
      <c r="B35" s="71" t="s">
        <v>21</v>
      </c>
      <c r="C35" s="71" t="s">
        <v>10</v>
      </c>
      <c r="D35" s="72" t="s">
        <v>22</v>
      </c>
      <c r="E35" s="72" t="s">
        <v>23</v>
      </c>
      <c r="F35" s="73" t="s">
        <v>24</v>
      </c>
    </row>
    <row r="36" spans="1:5" ht="12.75" customHeight="1">
      <c r="A36" s="74" t="s">
        <v>11</v>
      </c>
      <c r="B36" s="75" t="s">
        <v>25</v>
      </c>
      <c r="C36" s="75">
        <v>1</v>
      </c>
      <c r="D36" s="76">
        <f>E23</f>
        <v>1567.81</v>
      </c>
      <c r="E36" s="77">
        <f>C36*D36</f>
        <v>1567.81</v>
      </c>
    </row>
    <row r="37" spans="1:8" ht="12.75" customHeight="1">
      <c r="A37" s="78" t="s">
        <v>12</v>
      </c>
      <c r="B37" s="79" t="s">
        <v>6</v>
      </c>
      <c r="C37" s="80">
        <f>E24</f>
        <v>20</v>
      </c>
      <c r="D37" s="81">
        <f>SUM(E36:E36)</f>
        <v>1567.81</v>
      </c>
      <c r="E37" s="82">
        <f>C37*D37/100</f>
        <v>313.56199999999995</v>
      </c>
      <c r="H37" s="74" t="s">
        <v>11</v>
      </c>
    </row>
    <row r="38" spans="1:8" ht="12.75" customHeight="1">
      <c r="A38" s="83" t="s">
        <v>26</v>
      </c>
      <c r="B38" s="84"/>
      <c r="C38" s="84"/>
      <c r="D38" s="85"/>
      <c r="E38" s="86">
        <f>SUM(E36:E37)</f>
        <v>1881.3719999999998</v>
      </c>
      <c r="H38" s="87" t="s">
        <v>26</v>
      </c>
    </row>
    <row r="39" spans="1:9" ht="12.75" customHeight="1">
      <c r="A39" s="78" t="s">
        <v>27</v>
      </c>
      <c r="B39" s="79" t="s">
        <v>6</v>
      </c>
      <c r="C39" s="88">
        <f>'2.Encargos Sociais'!$C$34*100</f>
        <v>68</v>
      </c>
      <c r="D39" s="81">
        <f>E36+E37</f>
        <v>1881.3719999999998</v>
      </c>
      <c r="E39" s="82">
        <f>D39*C39/100</f>
        <v>1279.33296</v>
      </c>
      <c r="H39" s="78" t="s">
        <v>27</v>
      </c>
      <c r="I39" s="89"/>
    </row>
    <row r="40" spans="1:8" ht="12.75" customHeight="1">
      <c r="A40" s="83" t="s">
        <v>28</v>
      </c>
      <c r="B40" s="84"/>
      <c r="C40" s="84"/>
      <c r="D40" s="85"/>
      <c r="E40" s="90">
        <f>E36+E37+E39</f>
        <v>3160.70496</v>
      </c>
      <c r="H40" s="87" t="s">
        <v>29</v>
      </c>
    </row>
    <row r="41" spans="1:8" ht="13.5" customHeight="1">
      <c r="A41" s="78" t="s">
        <v>30</v>
      </c>
      <c r="B41" s="79" t="s">
        <v>31</v>
      </c>
      <c r="C41" s="80">
        <f>E22</f>
        <v>1</v>
      </c>
      <c r="D41" s="81">
        <f>E40</f>
        <v>3160.70496</v>
      </c>
      <c r="E41" s="82">
        <f>C41*D41</f>
        <v>3160.70496</v>
      </c>
      <c r="H41" s="78" t="s">
        <v>30</v>
      </c>
    </row>
    <row r="42" spans="1:6" ht="13.5" customHeight="1">
      <c r="A42" s="91" t="s">
        <v>32</v>
      </c>
      <c r="D42" s="92" t="s">
        <v>33</v>
      </c>
      <c r="E42" s="93">
        <f>$B$31</f>
        <v>1</v>
      </c>
      <c r="F42" s="94">
        <f>(((E36+E39)*E42)+E37)*C41</f>
        <v>3160.70496</v>
      </c>
    </row>
    <row r="43" spans="1:9" ht="13.5" customHeight="1">
      <c r="A43" s="95"/>
      <c r="B43" s="95"/>
      <c r="C43" s="95"/>
      <c r="D43" s="95"/>
      <c r="E43" s="96"/>
      <c r="F43" s="97"/>
      <c r="I43" s="89"/>
    </row>
    <row r="44" ht="13.5" customHeight="1">
      <c r="A44" s="1" t="s">
        <v>89</v>
      </c>
    </row>
    <row r="45" spans="1:7" s="91" customFormat="1" ht="12.75" customHeight="1">
      <c r="A45" s="70" t="s">
        <v>20</v>
      </c>
      <c r="B45" s="71" t="s">
        <v>21</v>
      </c>
      <c r="C45" s="71" t="s">
        <v>10</v>
      </c>
      <c r="D45" s="72" t="s">
        <v>22</v>
      </c>
      <c r="E45" s="72" t="s">
        <v>23</v>
      </c>
      <c r="F45" s="73" t="s">
        <v>24</v>
      </c>
      <c r="G45" s="2"/>
    </row>
    <row r="46" spans="1:5" ht="13.5" customHeight="1">
      <c r="A46" s="74" t="s">
        <v>11</v>
      </c>
      <c r="B46" s="75" t="s">
        <v>25</v>
      </c>
      <c r="C46" s="75">
        <v>1</v>
      </c>
      <c r="D46" s="98">
        <f>E27</f>
        <v>1346.46</v>
      </c>
      <c r="E46" s="99">
        <f>C46*D46</f>
        <v>1346.46</v>
      </c>
    </row>
    <row r="47" spans="1:5" ht="12.75" customHeight="1">
      <c r="A47" s="78" t="s">
        <v>12</v>
      </c>
      <c r="B47" s="79" t="s">
        <v>6</v>
      </c>
      <c r="C47" s="80">
        <f>C37</f>
        <v>20</v>
      </c>
      <c r="D47" s="81">
        <f>SUM(E46:E46)</f>
        <v>1346.46</v>
      </c>
      <c r="E47" s="82">
        <f>C47*D47/100</f>
        <v>269.29200000000003</v>
      </c>
    </row>
    <row r="48" spans="1:7" s="24" customFormat="1" ht="12.75" customHeight="1">
      <c r="A48" s="78" t="s">
        <v>26</v>
      </c>
      <c r="B48" s="84"/>
      <c r="C48" s="84"/>
      <c r="D48" s="100"/>
      <c r="E48" s="86">
        <f>SUM(E46:E47)</f>
        <v>1615.752</v>
      </c>
      <c r="F48" s="23"/>
      <c r="G48" s="23"/>
    </row>
    <row r="49" spans="1:5" ht="12.75" customHeight="1">
      <c r="A49" s="78" t="s">
        <v>27</v>
      </c>
      <c r="B49" s="79" t="s">
        <v>6</v>
      </c>
      <c r="C49" s="88">
        <f>'2.Encargos Sociais'!$C$34*100</f>
        <v>68</v>
      </c>
      <c r="D49" s="101">
        <f>E48</f>
        <v>1615.752</v>
      </c>
      <c r="E49" s="102">
        <f>D49*C49/100</f>
        <v>1098.71136</v>
      </c>
    </row>
    <row r="50" spans="1:7" s="24" customFormat="1" ht="12.75" customHeight="1">
      <c r="A50" s="78" t="s">
        <v>29</v>
      </c>
      <c r="B50" s="103"/>
      <c r="C50" s="103"/>
      <c r="D50" s="104"/>
      <c r="E50" s="102">
        <f>E48+E49</f>
        <v>2714.4633599999997</v>
      </c>
      <c r="F50" s="23"/>
      <c r="G50" s="23"/>
    </row>
    <row r="51" spans="1:5" ht="13.5" customHeight="1">
      <c r="A51" s="78" t="s">
        <v>30</v>
      </c>
      <c r="B51" s="79" t="s">
        <v>31</v>
      </c>
      <c r="C51" s="80">
        <v>1</v>
      </c>
      <c r="D51" s="101">
        <f>E50</f>
        <v>2714.4633599999997</v>
      </c>
      <c r="E51" s="102">
        <f>C51*D51</f>
        <v>2714.4633599999997</v>
      </c>
    </row>
    <row r="52" spans="1:6" ht="14.25" customHeight="1">
      <c r="A52" s="105" t="s">
        <v>32</v>
      </c>
      <c r="B52" s="105"/>
      <c r="C52" s="105"/>
      <c r="D52" s="92" t="s">
        <v>33</v>
      </c>
      <c r="E52" s="93">
        <f>$B$31</f>
        <v>1</v>
      </c>
      <c r="F52" s="106">
        <f>E51*E52</f>
        <v>2714.4633599999997</v>
      </c>
    </row>
    <row r="53" spans="1:6" ht="12.75" customHeight="1">
      <c r="A53" s="107"/>
      <c r="B53" s="107"/>
      <c r="C53" s="107"/>
      <c r="D53" s="107"/>
      <c r="E53" s="96"/>
      <c r="F53" s="97"/>
    </row>
    <row r="54" spans="1:6" ht="12.75" customHeight="1">
      <c r="A54" s="108" t="s">
        <v>35</v>
      </c>
      <c r="B54" s="109"/>
      <c r="C54" s="108"/>
      <c r="D54" s="108"/>
      <c r="E54" s="110"/>
      <c r="F54" s="111"/>
    </row>
    <row r="55" spans="1:6" ht="12.75" customHeight="1">
      <c r="A55" s="112" t="s">
        <v>20</v>
      </c>
      <c r="B55" s="113" t="s">
        <v>21</v>
      </c>
      <c r="C55" s="113" t="s">
        <v>10</v>
      </c>
      <c r="D55" s="114" t="s">
        <v>22</v>
      </c>
      <c r="E55" s="114" t="s">
        <v>23</v>
      </c>
      <c r="F55" s="115" t="s">
        <v>24</v>
      </c>
    </row>
    <row r="56" spans="1:6" ht="12.75" customHeight="1">
      <c r="A56" s="116" t="s">
        <v>36</v>
      </c>
      <c r="B56" s="117" t="s">
        <v>37</v>
      </c>
      <c r="C56" s="118">
        <v>1</v>
      </c>
      <c r="D56" s="119">
        <v>3.5</v>
      </c>
      <c r="E56" s="120"/>
      <c r="F56" s="111"/>
    </row>
    <row r="57" spans="1:6" ht="12.75" customHeight="1">
      <c r="A57" s="116" t="s">
        <v>38</v>
      </c>
      <c r="B57" s="117" t="s">
        <v>39</v>
      </c>
      <c r="C57" s="121">
        <v>21</v>
      </c>
      <c r="D57" s="120"/>
      <c r="E57" s="120"/>
      <c r="F57" s="111"/>
    </row>
    <row r="58" spans="1:6" ht="12.75" customHeight="1">
      <c r="A58" s="116" t="s">
        <v>40</v>
      </c>
      <c r="B58" s="117" t="s">
        <v>41</v>
      </c>
      <c r="C58" s="122">
        <f>C41*2*(C57)</f>
        <v>42</v>
      </c>
      <c r="D58" s="123">
        <f>$D$56-((E38*0.06)/C58)</f>
        <v>0.8123257142857145</v>
      </c>
      <c r="E58" s="120">
        <f aca="true" t="shared" si="3" ref="E58:E59">_xlfn.IFERROR(C58*D58,"-")</f>
        <v>34.11768000000001</v>
      </c>
      <c r="F58" s="111"/>
    </row>
    <row r="59" spans="1:6" ht="12.75" customHeight="1">
      <c r="A59" s="124" t="s">
        <v>42</v>
      </c>
      <c r="B59" s="125" t="s">
        <v>41</v>
      </c>
      <c r="C59" s="122">
        <f>C51*2*(C57)</f>
        <v>42</v>
      </c>
      <c r="D59" s="123">
        <f>$D$56-((E48*0.06)/C59)</f>
        <v>1.1917828571428575</v>
      </c>
      <c r="E59" s="123">
        <f t="shared" si="3"/>
        <v>50.05488000000001</v>
      </c>
      <c r="F59" s="111"/>
    </row>
    <row r="60" spans="1:6" ht="12.75" customHeight="1">
      <c r="A60" s="108"/>
      <c r="B60" s="108"/>
      <c r="C60" s="108"/>
      <c r="D60" s="111"/>
      <c r="E60" s="111"/>
      <c r="F60" s="126">
        <f>SUM(E58:E59)</f>
        <v>84.17256000000002</v>
      </c>
    </row>
    <row r="61" spans="1:6" ht="12.75" customHeight="1">
      <c r="A61" s="107"/>
      <c r="B61" s="107"/>
      <c r="C61" s="107"/>
      <c r="D61" s="107"/>
      <c r="E61" s="96"/>
      <c r="F61" s="97"/>
    </row>
    <row r="62" spans="1:9" ht="13.5" customHeight="1">
      <c r="A62" s="1" t="s">
        <v>43</v>
      </c>
      <c r="F62" s="23"/>
      <c r="I62" s="127"/>
    </row>
    <row r="63" spans="1:11" ht="14.25" customHeight="1">
      <c r="A63" s="70" t="s">
        <v>20</v>
      </c>
      <c r="B63" s="71" t="s">
        <v>21</v>
      </c>
      <c r="C63" s="71" t="s">
        <v>10</v>
      </c>
      <c r="D63" s="72" t="s">
        <v>22</v>
      </c>
      <c r="E63" s="72" t="s">
        <v>23</v>
      </c>
      <c r="F63" s="73" t="s">
        <v>24</v>
      </c>
      <c r="K63" s="128"/>
    </row>
    <row r="64" spans="1:9" ht="14.25" customHeight="1">
      <c r="A64" s="78" t="s">
        <v>44</v>
      </c>
      <c r="B64" s="79" t="s">
        <v>45</v>
      </c>
      <c r="C64" s="129">
        <f>2*21</f>
        <v>42</v>
      </c>
      <c r="D64" s="130">
        <f>17.41*0.81</f>
        <v>14.102100000000002</v>
      </c>
      <c r="E64" s="131">
        <f>C64*D64</f>
        <v>592.2882000000001</v>
      </c>
      <c r="F64" s="23"/>
      <c r="I64" s="127"/>
    </row>
    <row r="65" spans="1:6" s="1" customFormat="1" ht="14.25" customHeight="1">
      <c r="A65" s="132" t="s">
        <v>46</v>
      </c>
      <c r="B65" s="132"/>
      <c r="D65" s="92" t="s">
        <v>33</v>
      </c>
      <c r="E65" s="93">
        <f>E42</f>
        <v>1</v>
      </c>
      <c r="F65" s="133">
        <f>SUM(E64:E64)*E65</f>
        <v>592.2882000000001</v>
      </c>
    </row>
    <row r="66" spans="1:7" ht="14.25" customHeight="1">
      <c r="A66" s="134"/>
      <c r="B66" s="134"/>
      <c r="D66" s="92"/>
      <c r="F66" s="135"/>
      <c r="G66" s="1"/>
    </row>
    <row r="67" spans="1:8" s="1" customFormat="1" ht="14.25" customHeight="1">
      <c r="A67" s="136" t="s">
        <v>47</v>
      </c>
      <c r="B67" s="137"/>
      <c r="C67" s="137"/>
      <c r="D67" s="138"/>
      <c r="E67" s="139"/>
      <c r="F67" s="140">
        <f>F65+F42+F52+F60</f>
        <v>6551.62908</v>
      </c>
      <c r="H67" s="141"/>
    </row>
    <row r="68" ht="15" customHeight="1"/>
    <row r="69" spans="1:7" ht="12.75" customHeight="1">
      <c r="A69" s="24" t="s">
        <v>48</v>
      </c>
      <c r="G69" s="1"/>
    </row>
    <row r="70" spans="1:7" ht="13.5" customHeight="1">
      <c r="A70" s="1" t="s">
        <v>49</v>
      </c>
      <c r="G70" s="1"/>
    </row>
    <row r="71" spans="1:6" s="1" customFormat="1" ht="27.75" customHeight="1">
      <c r="A71" s="70" t="s">
        <v>20</v>
      </c>
      <c r="B71" s="71" t="s">
        <v>21</v>
      </c>
      <c r="C71" s="142" t="s">
        <v>50</v>
      </c>
      <c r="D71" s="72" t="s">
        <v>22</v>
      </c>
      <c r="E71" s="72" t="s">
        <v>23</v>
      </c>
      <c r="F71" s="73" t="s">
        <v>24</v>
      </c>
    </row>
    <row r="72" spans="1:7" ht="12.75" customHeight="1">
      <c r="A72" s="78" t="s">
        <v>51</v>
      </c>
      <c r="B72" s="79" t="s">
        <v>45</v>
      </c>
      <c r="C72" s="143">
        <v>3</v>
      </c>
      <c r="D72" s="144">
        <v>55</v>
      </c>
      <c r="E72" s="145">
        <f aca="true" t="shared" si="4" ref="E72:E77">_xlfn.IFERROR(D72/C72,0)</f>
        <v>18.333333333333332</v>
      </c>
      <c r="G72" s="1"/>
    </row>
    <row r="73" spans="1:7" ht="12.75" customHeight="1">
      <c r="A73" s="78" t="s">
        <v>52</v>
      </c>
      <c r="B73" s="79" t="s">
        <v>45</v>
      </c>
      <c r="C73" s="143">
        <v>3</v>
      </c>
      <c r="D73" s="144">
        <v>40</v>
      </c>
      <c r="E73" s="145">
        <f t="shared" si="4"/>
        <v>13.333333333333334</v>
      </c>
      <c r="G73" s="1"/>
    </row>
    <row r="74" spans="1:7" ht="12.75" customHeight="1">
      <c r="A74" s="78" t="s">
        <v>53</v>
      </c>
      <c r="B74" s="79" t="s">
        <v>45</v>
      </c>
      <c r="C74" s="143">
        <v>3</v>
      </c>
      <c r="D74" s="144">
        <v>40</v>
      </c>
      <c r="E74" s="145">
        <f t="shared" si="4"/>
        <v>13.333333333333334</v>
      </c>
      <c r="G74" s="1"/>
    </row>
    <row r="75" spans="1:7" ht="13.5" customHeight="1">
      <c r="A75" s="78" t="s">
        <v>54</v>
      </c>
      <c r="B75" s="79" t="s">
        <v>55</v>
      </c>
      <c r="C75" s="143">
        <v>6</v>
      </c>
      <c r="D75" s="144">
        <v>50</v>
      </c>
      <c r="E75" s="145">
        <f t="shared" si="4"/>
        <v>8.333333333333334</v>
      </c>
      <c r="G75" s="1"/>
    </row>
    <row r="76" spans="1:7" ht="12.75" customHeight="1">
      <c r="A76" s="78" t="s">
        <v>56</v>
      </c>
      <c r="B76" s="79" t="s">
        <v>55</v>
      </c>
      <c r="C76" s="143">
        <v>0.05</v>
      </c>
      <c r="D76" s="144">
        <v>1</v>
      </c>
      <c r="E76" s="145">
        <f t="shared" si="4"/>
        <v>20</v>
      </c>
      <c r="F76" s="146"/>
      <c r="G76" s="146"/>
    </row>
    <row r="77" spans="1:7" ht="12.75" customHeight="1">
      <c r="A77" s="78" t="s">
        <v>57</v>
      </c>
      <c r="B77" s="79" t="s">
        <v>45</v>
      </c>
      <c r="C77" s="143">
        <v>6</v>
      </c>
      <c r="D77" s="144">
        <v>60</v>
      </c>
      <c r="E77" s="145">
        <f t="shared" si="4"/>
        <v>10</v>
      </c>
      <c r="F77" s="147"/>
      <c r="G77" s="147"/>
    </row>
    <row r="78" spans="1:5" ht="13.5" customHeight="1">
      <c r="A78" s="148" t="s">
        <v>58</v>
      </c>
      <c r="B78" s="148"/>
      <c r="C78" s="149">
        <f>C41+C51</f>
        <v>2</v>
      </c>
      <c r="D78" s="101">
        <f>+SUM(E72:E77)</f>
        <v>83.33333333333333</v>
      </c>
      <c r="E78" s="101">
        <f>C78*D78</f>
        <v>166.66666666666666</v>
      </c>
    </row>
    <row r="79" spans="4:6" ht="14.25" customHeight="1">
      <c r="D79" s="92" t="s">
        <v>33</v>
      </c>
      <c r="E79" s="150">
        <f>$B$31</f>
        <v>1</v>
      </c>
      <c r="F79" s="106">
        <f>E78*E79</f>
        <v>166.66666666666666</v>
      </c>
    </row>
    <row r="80" ht="11.25" customHeight="1">
      <c r="G80" s="1"/>
    </row>
    <row r="81" spans="1:6" s="1" customFormat="1" ht="14.25" customHeight="1">
      <c r="A81" s="136" t="s">
        <v>59</v>
      </c>
      <c r="B81" s="151"/>
      <c r="C81" s="151"/>
      <c r="D81" s="152"/>
      <c r="E81" s="153"/>
      <c r="F81" s="154">
        <f>+F79</f>
        <v>166.66666666666666</v>
      </c>
    </row>
    <row r="82" ht="11.25" customHeight="1">
      <c r="G82" s="1"/>
    </row>
    <row r="83" spans="1:7" ht="13.5" customHeight="1">
      <c r="A83" s="24" t="s">
        <v>60</v>
      </c>
      <c r="B83" s="134"/>
      <c r="D83" s="92"/>
      <c r="F83" s="135"/>
      <c r="G83" s="1"/>
    </row>
    <row r="84" spans="1:6" s="1" customFormat="1" ht="13.5" customHeight="1">
      <c r="A84" s="155" t="s">
        <v>20</v>
      </c>
      <c r="B84" s="155" t="s">
        <v>21</v>
      </c>
      <c r="C84" s="155" t="s">
        <v>10</v>
      </c>
      <c r="D84" s="155" t="s">
        <v>22</v>
      </c>
      <c r="E84" s="155" t="s">
        <v>23</v>
      </c>
      <c r="F84" s="155" t="s">
        <v>61</v>
      </c>
    </row>
    <row r="85" spans="1:6" s="1" customFormat="1" ht="12.75" customHeight="1">
      <c r="A85" s="78" t="s">
        <v>62</v>
      </c>
      <c r="B85" s="156" t="s">
        <v>63</v>
      </c>
      <c r="C85" s="157">
        <v>250</v>
      </c>
      <c r="D85" s="130">
        <v>2</v>
      </c>
      <c r="E85" s="131">
        <f>C85*D85</f>
        <v>500</v>
      </c>
      <c r="F85" s="158"/>
    </row>
    <row r="86" spans="1:6" s="1" customFormat="1" ht="11.25" customHeight="1">
      <c r="A86" s="134"/>
      <c r="B86" s="134"/>
      <c r="D86" s="92" t="s">
        <v>33</v>
      </c>
      <c r="E86" s="150">
        <v>1</v>
      </c>
      <c r="F86" s="158">
        <f>E85</f>
        <v>500</v>
      </c>
    </row>
    <row r="87" spans="1:6" s="1" customFormat="1" ht="11.25" customHeight="1">
      <c r="A87" s="134"/>
      <c r="B87" s="134"/>
      <c r="D87" s="92"/>
      <c r="E87" s="96"/>
      <c r="F87" s="135"/>
    </row>
    <row r="88" spans="1:6" s="1" customFormat="1" ht="11.25" customHeight="1">
      <c r="A88" s="159" t="s">
        <v>64</v>
      </c>
      <c r="B88" s="108"/>
      <c r="C88" s="108"/>
      <c r="D88" s="111"/>
      <c r="E88" s="111"/>
      <c r="F88" s="111"/>
    </row>
    <row r="89" spans="1:6" s="1" customFormat="1" ht="11.25" customHeight="1">
      <c r="A89" s="160" t="s">
        <v>65</v>
      </c>
      <c r="B89" s="108"/>
      <c r="C89" s="108"/>
      <c r="D89" s="111"/>
      <c r="E89" s="111"/>
      <c r="F89" s="111"/>
    </row>
    <row r="90" spans="1:6" s="1" customFormat="1" ht="11.25" customHeight="1">
      <c r="A90" s="112" t="s">
        <v>20</v>
      </c>
      <c r="B90" s="113" t="s">
        <v>21</v>
      </c>
      <c r="C90" s="113" t="s">
        <v>10</v>
      </c>
      <c r="D90" s="114" t="s">
        <v>22</v>
      </c>
      <c r="E90" s="114" t="s">
        <v>23</v>
      </c>
      <c r="F90" s="115" t="s">
        <v>24</v>
      </c>
    </row>
    <row r="91" spans="1:6" s="1" customFormat="1" ht="11.25" customHeight="1">
      <c r="A91" s="161" t="s">
        <v>66</v>
      </c>
      <c r="B91" s="125" t="s">
        <v>45</v>
      </c>
      <c r="C91" s="162">
        <v>1</v>
      </c>
      <c r="D91" s="163">
        <f>'Veículos Equip Torno'!C10+'Veículos Equip Torno'!C16</f>
        <v>218051</v>
      </c>
      <c r="E91" s="164">
        <f>C91*D91</f>
        <v>218051</v>
      </c>
      <c r="F91" s="111"/>
    </row>
    <row r="92" spans="1:6" s="1" customFormat="1" ht="11.25" customHeight="1">
      <c r="A92" s="116" t="s">
        <v>67</v>
      </c>
      <c r="B92" s="117" t="s">
        <v>68</v>
      </c>
      <c r="C92" s="165">
        <v>10</v>
      </c>
      <c r="D92" s="166"/>
      <c r="E92" s="167"/>
      <c r="F92" s="111"/>
    </row>
    <row r="93" spans="1:6" s="1" customFormat="1" ht="11.25" customHeight="1">
      <c r="A93" s="116" t="s">
        <v>69</v>
      </c>
      <c r="B93" s="117"/>
      <c r="C93" s="165">
        <v>5</v>
      </c>
      <c r="D93" s="167"/>
      <c r="E93" s="167"/>
      <c r="F93" s="168"/>
    </row>
    <row r="94" spans="1:6" s="1" customFormat="1" ht="11.25" customHeight="1">
      <c r="A94" s="116" t="s">
        <v>70</v>
      </c>
      <c r="B94" s="117" t="s">
        <v>6</v>
      </c>
      <c r="C94" s="169">
        <f>'5. Depreciação'!B12</f>
        <v>65.18</v>
      </c>
      <c r="D94" s="167">
        <f>E91</f>
        <v>218051</v>
      </c>
      <c r="E94" s="167">
        <f>C94*D94/100</f>
        <v>142125.6418</v>
      </c>
      <c r="F94" s="111"/>
    </row>
    <row r="95" spans="1:6" s="1" customFormat="1" ht="11.25" customHeight="1">
      <c r="A95" s="170" t="s">
        <v>71</v>
      </c>
      <c r="B95" s="171" t="s">
        <v>25</v>
      </c>
      <c r="C95" s="172">
        <f>C92*12</f>
        <v>120</v>
      </c>
      <c r="D95" s="173">
        <f>IF(C93&lt;=C92,E94,0)</f>
        <v>142125.6418</v>
      </c>
      <c r="E95" s="174">
        <f>_xlfn.IFERROR(D95/C95,0)</f>
        <v>1184.3803483333334</v>
      </c>
      <c r="F95" s="111"/>
    </row>
    <row r="96" spans="1:6" s="1" customFormat="1" ht="11.25" customHeight="1">
      <c r="A96" s="116"/>
      <c r="B96" s="117"/>
      <c r="C96" s="175"/>
      <c r="D96" s="167"/>
      <c r="E96" s="167"/>
      <c r="F96" s="111"/>
    </row>
    <row r="97" spans="1:6" s="1" customFormat="1" ht="11.25" customHeight="1">
      <c r="A97" s="116" t="s">
        <v>72</v>
      </c>
      <c r="B97" s="117" t="s">
        <v>73</v>
      </c>
      <c r="C97" s="176">
        <v>1</v>
      </c>
      <c r="D97" s="177">
        <f>'Veículos Equip. Injeção'!C20</f>
        <v>700</v>
      </c>
      <c r="E97" s="178">
        <f>C97*D97</f>
        <v>700</v>
      </c>
      <c r="F97" s="111"/>
    </row>
    <row r="98" spans="1:6" s="1" customFormat="1" ht="11.25" customHeight="1" hidden="1">
      <c r="A98" s="116"/>
      <c r="B98" s="117"/>
      <c r="C98" s="176"/>
      <c r="D98" s="177"/>
      <c r="E98" s="178"/>
      <c r="F98" s="111"/>
    </row>
    <row r="99" spans="1:6" s="1" customFormat="1" ht="11.25" customHeight="1">
      <c r="A99" s="116"/>
      <c r="B99" s="117"/>
      <c r="C99" s="179"/>
      <c r="D99" s="167"/>
      <c r="E99" s="167"/>
      <c r="F99" s="111"/>
    </row>
    <row r="100" spans="1:6" s="1" customFormat="1" ht="11.25" customHeight="1">
      <c r="A100" s="180" t="s">
        <v>74</v>
      </c>
      <c r="B100" s="181" t="s">
        <v>45</v>
      </c>
      <c r="C100" s="182"/>
      <c r="D100" s="167"/>
      <c r="E100" s="174">
        <f>E95+E97+E98</f>
        <v>1884.3803483333334</v>
      </c>
      <c r="F100" s="111"/>
    </row>
    <row r="101" spans="1:6" s="1" customFormat="1" ht="11.25" customHeight="1">
      <c r="A101" s="183"/>
      <c r="B101" s="183"/>
      <c r="C101" s="183"/>
      <c r="D101" s="184" t="s">
        <v>33</v>
      </c>
      <c r="E101" s="185">
        <v>1</v>
      </c>
      <c r="F101" s="186">
        <f>E100*E101</f>
        <v>1884.3803483333334</v>
      </c>
    </row>
    <row r="102" spans="1:6" s="1" customFormat="1" ht="11.25" customHeight="1">
      <c r="A102" s="134"/>
      <c r="B102" s="134"/>
      <c r="D102" s="92"/>
      <c r="E102" s="96"/>
      <c r="F102" s="135"/>
    </row>
    <row r="103" spans="1:6" s="1" customFormat="1" ht="15.75" customHeight="1">
      <c r="A103" s="187" t="s">
        <v>75</v>
      </c>
      <c r="B103" s="188"/>
      <c r="C103" s="188"/>
      <c r="D103" s="189"/>
      <c r="E103" s="190"/>
      <c r="F103" s="126">
        <f>F67+F81+F86+F101</f>
        <v>9102.676095</v>
      </c>
    </row>
    <row r="104" ht="11.25" customHeight="1">
      <c r="G104" s="1"/>
    </row>
    <row r="105" spans="1:6" ht="13.5" customHeight="1">
      <c r="A105" s="67" t="s">
        <v>76</v>
      </c>
      <c r="B105" s="67"/>
      <c r="C105" s="67"/>
      <c r="D105" s="23"/>
      <c r="E105" s="23"/>
      <c r="F105" s="191"/>
    </row>
    <row r="106" spans="1:6" ht="12.75" customHeight="1">
      <c r="A106" s="155" t="s">
        <v>20</v>
      </c>
      <c r="B106" s="192" t="s">
        <v>21</v>
      </c>
      <c r="C106" s="192" t="s">
        <v>10</v>
      </c>
      <c r="D106" s="193" t="s">
        <v>22</v>
      </c>
      <c r="E106" s="193" t="s">
        <v>23</v>
      </c>
      <c r="F106" s="194" t="s">
        <v>24</v>
      </c>
    </row>
    <row r="107" spans="1:6" ht="12.75" customHeight="1">
      <c r="A107" s="195" t="s">
        <v>77</v>
      </c>
      <c r="B107" s="196" t="s">
        <v>6</v>
      </c>
      <c r="C107" s="197">
        <f>'4.BDI'!C18</f>
        <v>0.3014</v>
      </c>
      <c r="D107" s="198">
        <f>F103</f>
        <v>9102.676095</v>
      </c>
      <c r="E107" s="198">
        <f>D107*C107</f>
        <v>2743.5465750330004</v>
      </c>
      <c r="F107" s="199"/>
    </row>
    <row r="108" spans="1:6" ht="13.5" customHeight="1">
      <c r="A108" s="200"/>
      <c r="B108" s="200"/>
      <c r="C108" s="200"/>
      <c r="D108" s="200"/>
      <c r="E108" s="200"/>
      <c r="F108" s="201"/>
    </row>
    <row r="109" spans="1:6" ht="14.25" customHeight="1">
      <c r="A109" s="202" t="s">
        <v>78</v>
      </c>
      <c r="B109" s="202"/>
      <c r="C109" s="202"/>
      <c r="D109" s="202"/>
      <c r="E109" s="202"/>
      <c r="F109" s="154">
        <f>E107</f>
        <v>2743.5465750330004</v>
      </c>
    </row>
    <row r="110" ht="11.25" customHeight="1"/>
    <row r="111" spans="1:6" ht="24.75" customHeight="1">
      <c r="A111" s="203" t="s">
        <v>79</v>
      </c>
      <c r="B111" s="204"/>
      <c r="C111" s="204"/>
      <c r="D111" s="205"/>
      <c r="E111" s="206"/>
      <c r="F111" s="133">
        <f>F67+F81+F109+F86+F101</f>
        <v>11846.222670033001</v>
      </c>
    </row>
    <row r="112" spans="1:6" ht="13.5" customHeight="1">
      <c r="A112" s="67"/>
      <c r="B112" s="63"/>
      <c r="C112" s="63"/>
      <c r="F112" s="207"/>
    </row>
    <row r="113" spans="1:6" ht="13.5" customHeight="1">
      <c r="A113" s="208" t="s">
        <v>80</v>
      </c>
      <c r="B113" s="209"/>
      <c r="C113" s="209"/>
      <c r="D113" s="210"/>
      <c r="E113" s="210"/>
      <c r="F113" s="211">
        <v>183.33</v>
      </c>
    </row>
    <row r="114" spans="1:6" ht="13.5" customHeight="1">
      <c r="A114" s="67"/>
      <c r="B114" s="63"/>
      <c r="C114" s="63"/>
      <c r="F114" s="207"/>
    </row>
    <row r="115" spans="1:6" ht="13.5" customHeight="1">
      <c r="A115" s="203" t="s">
        <v>90</v>
      </c>
      <c r="B115" s="204"/>
      <c r="C115" s="204"/>
      <c r="D115" s="205"/>
      <c r="E115" s="206"/>
      <c r="F115" s="133">
        <f>F111/F113</f>
        <v>64.61693487172312</v>
      </c>
    </row>
    <row r="116" spans="1:7" ht="12" customHeight="1">
      <c r="A116" s="212"/>
      <c r="B116" s="212"/>
      <c r="C116" s="212"/>
      <c r="D116" s="213"/>
      <c r="E116" s="213"/>
      <c r="F116" s="213"/>
      <c r="G116" s="214"/>
    </row>
    <row r="117" ht="12.75" customHeight="1">
      <c r="A117" s="24" t="s">
        <v>84</v>
      </c>
    </row>
  </sheetData>
  <sheetProtection selectLockedCells="1" selectUnlockedCells="1"/>
  <mergeCells count="14">
    <mergeCell ref="A1:F1"/>
    <mergeCell ref="A2:F3"/>
    <mergeCell ref="A4:F4"/>
    <mergeCell ref="A6:F6"/>
    <mergeCell ref="A13:C13"/>
    <mergeCell ref="A20:E20"/>
    <mergeCell ref="A21:D21"/>
    <mergeCell ref="A34:F34"/>
    <mergeCell ref="A43:D43"/>
    <mergeCell ref="A52:C52"/>
    <mergeCell ref="A53:D53"/>
    <mergeCell ref="F76:G76"/>
    <mergeCell ref="A78:B78"/>
    <mergeCell ref="A109:E109"/>
  </mergeCells>
  <hyperlinks>
    <hyperlink ref="A89" location="AbaDeprec" display="4.1. Depreciação/manutenção "/>
  </hyperlinks>
  <printOptions horizontalCentered="1"/>
  <pageMargins left="0.5118055555555555" right="0.5118055555555555" top="0.15763888888888888" bottom="0.35486111111111107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1">
      <pane ySplit="1" topLeftCell="A102" activePane="bottomLeft" state="frozen"/>
      <selection pane="topLeft" activeCell="A1" sqref="A1"/>
      <selection pane="bottomLeft" activeCell="A117" sqref="A117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91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A33</f>
        <v>0</v>
      </c>
      <c r="B8" s="19"/>
      <c r="C8" s="20"/>
      <c r="D8" s="20"/>
      <c r="E8" s="21">
        <f>+F67</f>
        <v>6551.62908</v>
      </c>
      <c r="F8" s="22">
        <f aca="true" t="shared" si="1" ref="F8:F17">E8/$E$18</f>
        <v>0.5636040345573354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F42</f>
        <v>3160.70496</v>
      </c>
      <c r="F9" s="29">
        <f t="shared" si="1"/>
        <v>0.2718997131475858</v>
      </c>
      <c r="G9" s="2"/>
    </row>
    <row r="10" spans="1:7" s="4" customFormat="1" ht="15.75" customHeight="1">
      <c r="A10" s="25">
        <f>A44</f>
        <v>0</v>
      </c>
      <c r="B10" s="26"/>
      <c r="C10" s="27"/>
      <c r="D10" s="27"/>
      <c r="E10" s="28">
        <f>F52</f>
        <v>2714.4633599999997</v>
      </c>
      <c r="F10" s="29">
        <f t="shared" si="1"/>
        <v>0.23351176977101715</v>
      </c>
      <c r="G10" s="2"/>
    </row>
    <row r="11" spans="1:7" s="4" customFormat="1" ht="15.75" customHeight="1">
      <c r="A11" s="25">
        <f>A54</f>
        <v>0</v>
      </c>
      <c r="B11" s="26"/>
      <c r="C11" s="27"/>
      <c r="D11" s="27"/>
      <c r="E11" s="28">
        <f>F60</f>
        <v>84.17256000000002</v>
      </c>
      <c r="F11" s="29">
        <f t="shared" si="1"/>
        <v>0.007240946310565464</v>
      </c>
      <c r="G11" s="2"/>
    </row>
    <row r="12" spans="1:7" s="4" customFormat="1" ht="15.75" customHeight="1">
      <c r="A12" s="25">
        <f>A62</f>
        <v>0</v>
      </c>
      <c r="B12" s="26"/>
      <c r="C12" s="27"/>
      <c r="D12" s="27"/>
      <c r="E12" s="28">
        <f>F65</f>
        <v>592.2882000000001</v>
      </c>
      <c r="F12" s="29">
        <f t="shared" si="1"/>
        <v>0.05095160532816703</v>
      </c>
      <c r="G12" s="2"/>
    </row>
    <row r="13" spans="1:7" s="24" customFormat="1" ht="15.75" customHeight="1">
      <c r="A13" s="30">
        <f aca="true" t="shared" si="2" ref="A13:A14">A69</f>
        <v>0</v>
      </c>
      <c r="B13" s="30"/>
      <c r="C13" s="30"/>
      <c r="D13" s="20"/>
      <c r="E13" s="21">
        <f>+F81</f>
        <v>166.66666666666666</v>
      </c>
      <c r="F13" s="22">
        <f t="shared" si="1"/>
        <v>0.014337503636508663</v>
      </c>
      <c r="G13" s="23"/>
    </row>
    <row r="14" spans="1:7" s="24" customFormat="1" ht="15.75" customHeight="1">
      <c r="A14" s="31">
        <f t="shared" si="2"/>
        <v>0</v>
      </c>
      <c r="B14" s="32"/>
      <c r="C14" s="32"/>
      <c r="D14" s="20"/>
      <c r="E14" s="33">
        <f>F79</f>
        <v>166.66666666666666</v>
      </c>
      <c r="F14" s="29">
        <f t="shared" si="1"/>
        <v>0.014337503636508663</v>
      </c>
      <c r="G14" s="23"/>
    </row>
    <row r="15" spans="1:7" s="24" customFormat="1" ht="15.75" customHeight="1">
      <c r="A15" s="30">
        <f>A83</f>
        <v>0</v>
      </c>
      <c r="B15" s="32"/>
      <c r="C15" s="32"/>
      <c r="D15" s="20"/>
      <c r="E15" s="34">
        <f>F86</f>
        <v>500</v>
      </c>
      <c r="F15" s="22">
        <f t="shared" si="1"/>
        <v>0.04301251090952599</v>
      </c>
      <c r="G15" s="23"/>
    </row>
    <row r="16" spans="1:7" s="24" customFormat="1" ht="15.75" customHeight="1">
      <c r="A16" s="30">
        <f>A88</f>
        <v>0</v>
      </c>
      <c r="B16" s="32"/>
      <c r="C16" s="32"/>
      <c r="D16" s="20"/>
      <c r="E16" s="34">
        <f>F101</f>
        <v>1714.0269866666667</v>
      </c>
      <c r="F16" s="22">
        <f t="shared" si="1"/>
        <v>0.14744920892644395</v>
      </c>
      <c r="G16" s="23"/>
    </row>
    <row r="17" spans="1:7" s="24" customFormat="1" ht="15.75" customHeight="1">
      <c r="A17" s="30">
        <f>A105</f>
        <v>0</v>
      </c>
      <c r="B17" s="35"/>
      <c r="C17" s="20"/>
      <c r="D17" s="20"/>
      <c r="E17" s="36">
        <f>F109</f>
        <v>2692.202071826667</v>
      </c>
      <c r="F17" s="22">
        <f t="shared" si="1"/>
        <v>0.231596741970186</v>
      </c>
      <c r="G17" s="23"/>
    </row>
    <row r="18" spans="1:7" s="4" customFormat="1" ht="15.75" customHeight="1">
      <c r="A18" s="37" t="s">
        <v>7</v>
      </c>
      <c r="B18" s="38"/>
      <c r="C18" s="39"/>
      <c r="D18" s="39"/>
      <c r="E18" s="40">
        <f>E8+E13+E17+E15+E16</f>
        <v>11624.52480516</v>
      </c>
      <c r="F18" s="41">
        <f>F8+F13+F17+F15+F16</f>
        <v>1</v>
      </c>
      <c r="G18" s="2"/>
    </row>
    <row r="19" spans="1:7" s="4" customFormat="1" ht="15.75" customHeight="1">
      <c r="A19" s="42"/>
      <c r="B19" s="43"/>
      <c r="C19" s="23"/>
      <c r="D19" s="23"/>
      <c r="E19" s="44"/>
      <c r="F19" s="45"/>
      <c r="G19" s="2"/>
    </row>
    <row r="20" spans="1:7" s="4" customFormat="1" ht="15" customHeight="1">
      <c r="A20" s="12" t="s">
        <v>8</v>
      </c>
      <c r="B20" s="12"/>
      <c r="C20" s="12"/>
      <c r="D20" s="12"/>
      <c r="E20" s="12"/>
      <c r="F20" s="2"/>
      <c r="G20" s="2"/>
    </row>
    <row r="21" spans="1:7" s="4" customFormat="1" ht="15" customHeight="1">
      <c r="A21" s="46" t="s">
        <v>9</v>
      </c>
      <c r="B21" s="46"/>
      <c r="C21" s="46"/>
      <c r="D21" s="46"/>
      <c r="E21" s="47" t="s">
        <v>10</v>
      </c>
      <c r="F21" s="2"/>
      <c r="G21" s="2"/>
    </row>
    <row r="22" spans="1:7" s="4" customFormat="1" ht="15" customHeight="1">
      <c r="A22" s="48">
        <f>A34</f>
        <v>0</v>
      </c>
      <c r="B22" s="14"/>
      <c r="C22" s="14"/>
      <c r="D22" s="49"/>
      <c r="E22" s="50">
        <v>1</v>
      </c>
      <c r="F22" s="2"/>
      <c r="G22" s="2"/>
    </row>
    <row r="23" spans="1:7" s="4" customFormat="1" ht="15" customHeight="1">
      <c r="A23" s="51" t="s">
        <v>11</v>
      </c>
      <c r="B23" s="52"/>
      <c r="C23" s="52"/>
      <c r="D23" s="53"/>
      <c r="E23" s="54">
        <v>1567.81</v>
      </c>
      <c r="F23" s="2"/>
      <c r="G23" s="2"/>
    </row>
    <row r="24" spans="1:7" s="4" customFormat="1" ht="15" customHeight="1">
      <c r="A24" s="51" t="s">
        <v>12</v>
      </c>
      <c r="B24" s="52"/>
      <c r="C24" s="52"/>
      <c r="D24" s="53"/>
      <c r="E24" s="55">
        <v>20</v>
      </c>
      <c r="F24" s="2"/>
      <c r="G24" s="2"/>
    </row>
    <row r="25" spans="1:6" s="4" customFormat="1" ht="15" customHeight="1">
      <c r="A25" s="51" t="s">
        <v>13</v>
      </c>
      <c r="B25" s="52"/>
      <c r="C25" s="52"/>
      <c r="D25" s="53"/>
      <c r="E25" s="55">
        <v>220</v>
      </c>
      <c r="F25" s="2"/>
    </row>
    <row r="26" spans="1:6" s="4" customFormat="1" ht="15" customHeight="1">
      <c r="A26" s="18">
        <f>+A44</f>
        <v>0</v>
      </c>
      <c r="B26" s="27"/>
      <c r="C26" s="27"/>
      <c r="D26" s="56"/>
      <c r="E26" s="57">
        <v>1</v>
      </c>
      <c r="F26" s="2"/>
    </row>
    <row r="27" spans="1:6" s="4" customFormat="1" ht="15" customHeight="1">
      <c r="A27" s="51" t="s">
        <v>14</v>
      </c>
      <c r="B27" s="27"/>
      <c r="C27" s="27"/>
      <c r="D27" s="56"/>
      <c r="E27" s="58">
        <v>1346.46</v>
      </c>
      <c r="F27" s="2"/>
    </row>
    <row r="28" spans="1:7" s="4" customFormat="1" ht="15" customHeight="1">
      <c r="A28" s="25" t="s">
        <v>15</v>
      </c>
      <c r="B28" s="27"/>
      <c r="C28" s="27"/>
      <c r="D28" s="56"/>
      <c r="E28" s="57">
        <v>220</v>
      </c>
      <c r="F28" s="2"/>
      <c r="G28" s="2"/>
    </row>
    <row r="29" spans="1:7" s="4" customFormat="1" ht="15" customHeight="1">
      <c r="A29" s="59" t="s">
        <v>16</v>
      </c>
      <c r="B29" s="60"/>
      <c r="C29" s="60"/>
      <c r="D29" s="61"/>
      <c r="E29" s="62">
        <f>E22+E26</f>
        <v>2</v>
      </c>
      <c r="F29" s="2"/>
      <c r="G29" s="2"/>
    </row>
    <row r="30" spans="1:7" s="4" customFormat="1" ht="14.25" customHeight="1">
      <c r="A30" s="2"/>
      <c r="B30" s="2"/>
      <c r="C30" s="2"/>
      <c r="D30" s="63"/>
      <c r="E30" s="64"/>
      <c r="F30" s="1"/>
      <c r="G30" s="2"/>
    </row>
    <row r="31" spans="1:7" s="24" customFormat="1" ht="15.75" customHeight="1">
      <c r="A31" s="65" t="s">
        <v>17</v>
      </c>
      <c r="B31" s="66">
        <f>Horários!F17</f>
        <v>1</v>
      </c>
      <c r="C31" s="23"/>
      <c r="D31" s="67"/>
      <c r="E31" s="68"/>
      <c r="G31" s="23"/>
    </row>
    <row r="32" spans="1:7" s="4" customFormat="1" ht="15.75" customHeight="1">
      <c r="A32" s="2"/>
      <c r="B32" s="2"/>
      <c r="C32" s="2"/>
      <c r="D32" s="63"/>
      <c r="E32" s="64"/>
      <c r="F32" s="1"/>
      <c r="G32" s="2"/>
    </row>
    <row r="33" ht="12.75" customHeight="1">
      <c r="A33" s="24" t="s">
        <v>18</v>
      </c>
    </row>
    <row r="34" spans="1:6" ht="13.5" customHeight="1">
      <c r="A34" s="69" t="s">
        <v>92</v>
      </c>
      <c r="B34" s="69"/>
      <c r="C34" s="69"/>
      <c r="D34" s="69"/>
      <c r="E34" s="69"/>
      <c r="F34" s="69"/>
    </row>
    <row r="35" spans="1:6" ht="13.5" customHeight="1">
      <c r="A35" s="70" t="s">
        <v>20</v>
      </c>
      <c r="B35" s="71" t="s">
        <v>21</v>
      </c>
      <c r="C35" s="71" t="s">
        <v>10</v>
      </c>
      <c r="D35" s="72" t="s">
        <v>22</v>
      </c>
      <c r="E35" s="72" t="s">
        <v>23</v>
      </c>
      <c r="F35" s="73" t="s">
        <v>24</v>
      </c>
    </row>
    <row r="36" spans="1:5" ht="12.75" customHeight="1">
      <c r="A36" s="74" t="s">
        <v>11</v>
      </c>
      <c r="B36" s="75" t="s">
        <v>25</v>
      </c>
      <c r="C36" s="75">
        <v>1</v>
      </c>
      <c r="D36" s="76">
        <f>E23</f>
        <v>1567.81</v>
      </c>
      <c r="E36" s="77">
        <f>C36*D36</f>
        <v>1567.81</v>
      </c>
    </row>
    <row r="37" spans="1:8" ht="12.75" customHeight="1">
      <c r="A37" s="78" t="s">
        <v>12</v>
      </c>
      <c r="B37" s="79" t="s">
        <v>6</v>
      </c>
      <c r="C37" s="80">
        <f>E24</f>
        <v>20</v>
      </c>
      <c r="D37" s="81">
        <f>SUM(E36:E36)</f>
        <v>1567.81</v>
      </c>
      <c r="E37" s="82">
        <f>C37*D37/100</f>
        <v>313.56199999999995</v>
      </c>
      <c r="H37" s="74" t="s">
        <v>11</v>
      </c>
    </row>
    <row r="38" spans="1:8" ht="12.75" customHeight="1">
      <c r="A38" s="83" t="s">
        <v>26</v>
      </c>
      <c r="B38" s="84"/>
      <c r="C38" s="84"/>
      <c r="D38" s="85"/>
      <c r="E38" s="86">
        <f>SUM(E36:E37)</f>
        <v>1881.3719999999998</v>
      </c>
      <c r="H38" s="87" t="s">
        <v>26</v>
      </c>
    </row>
    <row r="39" spans="1:9" ht="12.75" customHeight="1">
      <c r="A39" s="78" t="s">
        <v>27</v>
      </c>
      <c r="B39" s="79" t="s">
        <v>6</v>
      </c>
      <c r="C39" s="88">
        <f>'2.Encargos Sociais'!$C$34*100</f>
        <v>68</v>
      </c>
      <c r="D39" s="81">
        <f>E36+E37</f>
        <v>1881.3719999999998</v>
      </c>
      <c r="E39" s="82">
        <f>D39*C39/100</f>
        <v>1279.33296</v>
      </c>
      <c r="H39" s="78" t="s">
        <v>27</v>
      </c>
      <c r="I39" s="89"/>
    </row>
    <row r="40" spans="1:8" ht="12.75" customHeight="1">
      <c r="A40" s="83" t="s">
        <v>28</v>
      </c>
      <c r="B40" s="84"/>
      <c r="C40" s="84"/>
      <c r="D40" s="85"/>
      <c r="E40" s="90">
        <f>E36+E37+E39</f>
        <v>3160.70496</v>
      </c>
      <c r="H40" s="87" t="s">
        <v>29</v>
      </c>
    </row>
    <row r="41" spans="1:8" ht="13.5" customHeight="1">
      <c r="A41" s="78" t="s">
        <v>30</v>
      </c>
      <c r="B41" s="79" t="s">
        <v>31</v>
      </c>
      <c r="C41" s="80">
        <f>E22</f>
        <v>1</v>
      </c>
      <c r="D41" s="81">
        <f>E40</f>
        <v>3160.70496</v>
      </c>
      <c r="E41" s="82">
        <f>C41*D41</f>
        <v>3160.70496</v>
      </c>
      <c r="H41" s="78" t="s">
        <v>30</v>
      </c>
    </row>
    <row r="42" spans="1:6" ht="13.5" customHeight="1">
      <c r="A42" s="91" t="s">
        <v>32</v>
      </c>
      <c r="D42" s="92" t="s">
        <v>33</v>
      </c>
      <c r="E42" s="93">
        <f>$B$31</f>
        <v>1</v>
      </c>
      <c r="F42" s="94">
        <f>(((E36+E39)*E42)+E37)*C41</f>
        <v>3160.70496</v>
      </c>
    </row>
    <row r="43" spans="1:9" ht="13.5" customHeight="1">
      <c r="A43" s="95"/>
      <c r="B43" s="95"/>
      <c r="C43" s="95"/>
      <c r="D43" s="95"/>
      <c r="E43" s="96"/>
      <c r="F43" s="97"/>
      <c r="I43" s="89"/>
    </row>
    <row r="44" ht="13.5" customHeight="1">
      <c r="A44" s="1" t="s">
        <v>93</v>
      </c>
    </row>
    <row r="45" spans="1:7" s="91" customFormat="1" ht="12.75" customHeight="1">
      <c r="A45" s="70" t="s">
        <v>20</v>
      </c>
      <c r="B45" s="71" t="s">
        <v>21</v>
      </c>
      <c r="C45" s="71" t="s">
        <v>10</v>
      </c>
      <c r="D45" s="72" t="s">
        <v>22</v>
      </c>
      <c r="E45" s="72" t="s">
        <v>23</v>
      </c>
      <c r="F45" s="73" t="s">
        <v>24</v>
      </c>
      <c r="G45" s="2"/>
    </row>
    <row r="46" spans="1:5" ht="13.5" customHeight="1">
      <c r="A46" s="74" t="s">
        <v>11</v>
      </c>
      <c r="B46" s="75" t="s">
        <v>25</v>
      </c>
      <c r="C46" s="75">
        <v>1</v>
      </c>
      <c r="D46" s="98">
        <f>E27</f>
        <v>1346.46</v>
      </c>
      <c r="E46" s="99">
        <f>C46*D46</f>
        <v>1346.46</v>
      </c>
    </row>
    <row r="47" spans="1:5" ht="12.75" customHeight="1">
      <c r="A47" s="78" t="s">
        <v>12</v>
      </c>
      <c r="B47" s="79" t="s">
        <v>6</v>
      </c>
      <c r="C47" s="80">
        <f>C37</f>
        <v>20</v>
      </c>
      <c r="D47" s="81">
        <f>SUM(E46:E46)</f>
        <v>1346.46</v>
      </c>
      <c r="E47" s="82">
        <f>C47*D47/100</f>
        <v>269.29200000000003</v>
      </c>
    </row>
    <row r="48" spans="1:7" s="24" customFormat="1" ht="12.75" customHeight="1">
      <c r="A48" s="78" t="s">
        <v>26</v>
      </c>
      <c r="B48" s="84"/>
      <c r="C48" s="84"/>
      <c r="D48" s="100"/>
      <c r="E48" s="86">
        <f>SUM(E46:E47)</f>
        <v>1615.752</v>
      </c>
      <c r="F48" s="23"/>
      <c r="G48" s="23"/>
    </row>
    <row r="49" spans="1:5" ht="12.75" customHeight="1">
      <c r="A49" s="78" t="s">
        <v>27</v>
      </c>
      <c r="B49" s="79" t="s">
        <v>6</v>
      </c>
      <c r="C49" s="88">
        <f>'2.Encargos Sociais'!$C$34*100</f>
        <v>68</v>
      </c>
      <c r="D49" s="101">
        <f>E48</f>
        <v>1615.752</v>
      </c>
      <c r="E49" s="102">
        <f>D49*C49/100</f>
        <v>1098.71136</v>
      </c>
    </row>
    <row r="50" spans="1:7" s="24" customFormat="1" ht="12.75" customHeight="1">
      <c r="A50" s="78" t="s">
        <v>29</v>
      </c>
      <c r="B50" s="103"/>
      <c r="C50" s="103"/>
      <c r="D50" s="104"/>
      <c r="E50" s="102">
        <f>E48+E49</f>
        <v>2714.4633599999997</v>
      </c>
      <c r="F50" s="23"/>
      <c r="G50" s="23"/>
    </row>
    <row r="51" spans="1:5" ht="13.5" customHeight="1">
      <c r="A51" s="78" t="s">
        <v>30</v>
      </c>
      <c r="B51" s="79" t="s">
        <v>31</v>
      </c>
      <c r="C51" s="80">
        <v>1</v>
      </c>
      <c r="D51" s="101">
        <f>E50</f>
        <v>2714.4633599999997</v>
      </c>
      <c r="E51" s="102">
        <f>C51*D51</f>
        <v>2714.4633599999997</v>
      </c>
    </row>
    <row r="52" spans="1:6" ht="14.25" customHeight="1">
      <c r="A52" s="105" t="s">
        <v>32</v>
      </c>
      <c r="B52" s="105"/>
      <c r="C52" s="105"/>
      <c r="D52" s="92" t="s">
        <v>33</v>
      </c>
      <c r="E52" s="93">
        <f>$B$31</f>
        <v>1</v>
      </c>
      <c r="F52" s="106">
        <f>E51*E52</f>
        <v>2714.4633599999997</v>
      </c>
    </row>
    <row r="53" spans="1:6" ht="12.75" customHeight="1">
      <c r="A53" s="107"/>
      <c r="B53" s="107"/>
      <c r="C53" s="107"/>
      <c r="D53" s="107"/>
      <c r="E53" s="96"/>
      <c r="F53" s="97"/>
    </row>
    <row r="54" spans="1:6" ht="12.75" customHeight="1">
      <c r="A54" s="108" t="s">
        <v>35</v>
      </c>
      <c r="B54" s="109"/>
      <c r="C54" s="108"/>
      <c r="D54" s="108"/>
      <c r="E54" s="110"/>
      <c r="F54" s="111"/>
    </row>
    <row r="55" spans="1:6" ht="12.75" customHeight="1">
      <c r="A55" s="112" t="s">
        <v>20</v>
      </c>
      <c r="B55" s="113" t="s">
        <v>21</v>
      </c>
      <c r="C55" s="113" t="s">
        <v>10</v>
      </c>
      <c r="D55" s="114" t="s">
        <v>22</v>
      </c>
      <c r="E55" s="114" t="s">
        <v>23</v>
      </c>
      <c r="F55" s="115" t="s">
        <v>24</v>
      </c>
    </row>
    <row r="56" spans="1:6" ht="12.75" customHeight="1">
      <c r="A56" s="116" t="s">
        <v>36</v>
      </c>
      <c r="B56" s="117" t="s">
        <v>37</v>
      </c>
      <c r="C56" s="118">
        <v>1</v>
      </c>
      <c r="D56" s="119">
        <v>3.5</v>
      </c>
      <c r="E56" s="120"/>
      <c r="F56" s="111"/>
    </row>
    <row r="57" spans="1:6" ht="12.75" customHeight="1">
      <c r="A57" s="116" t="s">
        <v>38</v>
      </c>
      <c r="B57" s="117" t="s">
        <v>39</v>
      </c>
      <c r="C57" s="121">
        <v>21</v>
      </c>
      <c r="D57" s="120"/>
      <c r="E57" s="120"/>
      <c r="F57" s="111"/>
    </row>
    <row r="58" spans="1:6" ht="12.75" customHeight="1">
      <c r="A58" s="116" t="s">
        <v>40</v>
      </c>
      <c r="B58" s="117" t="s">
        <v>41</v>
      </c>
      <c r="C58" s="122">
        <f>C41*2*(C57)</f>
        <v>42</v>
      </c>
      <c r="D58" s="123">
        <f>$D$56-((E38*0.06)/C58)</f>
        <v>0.8123257142857145</v>
      </c>
      <c r="E58" s="120">
        <f aca="true" t="shared" si="3" ref="E58:E59">_xlfn.IFERROR(C58*D58,"-")</f>
        <v>34.11768000000001</v>
      </c>
      <c r="F58" s="111"/>
    </row>
    <row r="59" spans="1:6" ht="12.75" customHeight="1">
      <c r="A59" s="124" t="s">
        <v>42</v>
      </c>
      <c r="B59" s="125" t="s">
        <v>41</v>
      </c>
      <c r="C59" s="122">
        <f>C51*2*(C57)</f>
        <v>42</v>
      </c>
      <c r="D59" s="123">
        <f>$D$56-((E48*0.06)/C59)</f>
        <v>1.1917828571428575</v>
      </c>
      <c r="E59" s="123">
        <f t="shared" si="3"/>
        <v>50.05488000000001</v>
      </c>
      <c r="F59" s="111"/>
    </row>
    <row r="60" spans="1:6" ht="12.75" customHeight="1">
      <c r="A60" s="108"/>
      <c r="B60" s="108"/>
      <c r="C60" s="108"/>
      <c r="D60" s="111"/>
      <c r="E60" s="111"/>
      <c r="F60" s="126">
        <f>SUM(E58:E59)</f>
        <v>84.17256000000002</v>
      </c>
    </row>
    <row r="61" spans="1:6" ht="12.75" customHeight="1">
      <c r="A61" s="107"/>
      <c r="B61" s="107"/>
      <c r="C61" s="107"/>
      <c r="D61" s="107"/>
      <c r="E61" s="96"/>
      <c r="F61" s="97"/>
    </row>
    <row r="62" spans="1:9" ht="13.5" customHeight="1">
      <c r="A62" s="1" t="s">
        <v>43</v>
      </c>
      <c r="F62" s="23"/>
      <c r="I62" s="127"/>
    </row>
    <row r="63" spans="1:11" ht="14.25" customHeight="1">
      <c r="A63" s="70" t="s">
        <v>20</v>
      </c>
      <c r="B63" s="71" t="s">
        <v>21</v>
      </c>
      <c r="C63" s="71" t="s">
        <v>10</v>
      </c>
      <c r="D63" s="72" t="s">
        <v>22</v>
      </c>
      <c r="E63" s="72" t="s">
        <v>23</v>
      </c>
      <c r="F63" s="73" t="s">
        <v>24</v>
      </c>
      <c r="K63" s="128"/>
    </row>
    <row r="64" spans="1:9" ht="14.25" customHeight="1">
      <c r="A64" s="78" t="s">
        <v>44</v>
      </c>
      <c r="B64" s="79" t="s">
        <v>45</v>
      </c>
      <c r="C64" s="129">
        <f>2*21</f>
        <v>42</v>
      </c>
      <c r="D64" s="130">
        <f>17.41*0.81</f>
        <v>14.102100000000002</v>
      </c>
      <c r="E64" s="131">
        <f>C64*D64</f>
        <v>592.2882000000001</v>
      </c>
      <c r="F64" s="23"/>
      <c r="I64" s="127"/>
    </row>
    <row r="65" spans="1:6" s="1" customFormat="1" ht="14.25" customHeight="1">
      <c r="A65" s="132" t="s">
        <v>46</v>
      </c>
      <c r="B65" s="132"/>
      <c r="D65" s="92" t="s">
        <v>33</v>
      </c>
      <c r="E65" s="93">
        <f>E42</f>
        <v>1</v>
      </c>
      <c r="F65" s="133">
        <f>SUM(E64:E64)*E65</f>
        <v>592.2882000000001</v>
      </c>
    </row>
    <row r="66" spans="1:7" ht="14.25" customHeight="1">
      <c r="A66" s="134"/>
      <c r="B66" s="134"/>
      <c r="D66" s="92"/>
      <c r="F66" s="135"/>
      <c r="G66" s="1"/>
    </row>
    <row r="67" spans="1:8" s="1" customFormat="1" ht="14.25" customHeight="1">
      <c r="A67" s="136" t="s">
        <v>47</v>
      </c>
      <c r="B67" s="137"/>
      <c r="C67" s="137"/>
      <c r="D67" s="138"/>
      <c r="E67" s="139"/>
      <c r="F67" s="140">
        <f>F65+F42+F52+F60</f>
        <v>6551.62908</v>
      </c>
      <c r="H67" s="141"/>
    </row>
    <row r="68" ht="15" customHeight="1"/>
    <row r="69" spans="1:7" ht="12.75" customHeight="1">
      <c r="A69" s="24" t="s">
        <v>48</v>
      </c>
      <c r="G69" s="1"/>
    </row>
    <row r="70" spans="1:7" ht="13.5" customHeight="1">
      <c r="A70" s="1" t="s">
        <v>49</v>
      </c>
      <c r="G70" s="1"/>
    </row>
    <row r="71" spans="1:6" s="1" customFormat="1" ht="27.75" customHeight="1">
      <c r="A71" s="70" t="s">
        <v>20</v>
      </c>
      <c r="B71" s="71" t="s">
        <v>21</v>
      </c>
      <c r="C71" s="142" t="s">
        <v>50</v>
      </c>
      <c r="D71" s="72" t="s">
        <v>22</v>
      </c>
      <c r="E71" s="72" t="s">
        <v>23</v>
      </c>
      <c r="F71" s="73" t="s">
        <v>24</v>
      </c>
    </row>
    <row r="72" spans="1:7" ht="12.75" customHeight="1">
      <c r="A72" s="78" t="s">
        <v>51</v>
      </c>
      <c r="B72" s="79" t="s">
        <v>45</v>
      </c>
      <c r="C72" s="143">
        <v>3</v>
      </c>
      <c r="D72" s="144">
        <v>55</v>
      </c>
      <c r="E72" s="145">
        <f aca="true" t="shared" si="4" ref="E72:E77">_xlfn.IFERROR(D72/C72,0)</f>
        <v>18.333333333333332</v>
      </c>
      <c r="G72" s="1"/>
    </row>
    <row r="73" spans="1:7" ht="12.75" customHeight="1">
      <c r="A73" s="78" t="s">
        <v>52</v>
      </c>
      <c r="B73" s="79" t="s">
        <v>45</v>
      </c>
      <c r="C73" s="143">
        <v>3</v>
      </c>
      <c r="D73" s="144">
        <v>40</v>
      </c>
      <c r="E73" s="145">
        <f t="shared" si="4"/>
        <v>13.333333333333334</v>
      </c>
      <c r="G73" s="1"/>
    </row>
    <row r="74" spans="1:7" ht="12.75" customHeight="1">
      <c r="A74" s="78" t="s">
        <v>53</v>
      </c>
      <c r="B74" s="79" t="s">
        <v>45</v>
      </c>
      <c r="C74" s="143">
        <v>3</v>
      </c>
      <c r="D74" s="144">
        <v>40</v>
      </c>
      <c r="E74" s="145">
        <f t="shared" si="4"/>
        <v>13.333333333333334</v>
      </c>
      <c r="G74" s="1"/>
    </row>
    <row r="75" spans="1:7" ht="13.5" customHeight="1">
      <c r="A75" s="78" t="s">
        <v>54</v>
      </c>
      <c r="B75" s="79" t="s">
        <v>55</v>
      </c>
      <c r="C75" s="143">
        <v>6</v>
      </c>
      <c r="D75" s="144">
        <v>50</v>
      </c>
      <c r="E75" s="145">
        <f t="shared" si="4"/>
        <v>8.333333333333334</v>
      </c>
      <c r="G75" s="1"/>
    </row>
    <row r="76" spans="1:7" ht="12.75" customHeight="1">
      <c r="A76" s="78" t="s">
        <v>56</v>
      </c>
      <c r="B76" s="79" t="s">
        <v>55</v>
      </c>
      <c r="C76" s="143">
        <v>0.05</v>
      </c>
      <c r="D76" s="144">
        <v>1</v>
      </c>
      <c r="E76" s="145">
        <f t="shared" si="4"/>
        <v>20</v>
      </c>
      <c r="F76" s="146"/>
      <c r="G76" s="146"/>
    </row>
    <row r="77" spans="1:7" ht="12.75" customHeight="1">
      <c r="A77" s="78" t="s">
        <v>57</v>
      </c>
      <c r="B77" s="79" t="s">
        <v>45</v>
      </c>
      <c r="C77" s="143">
        <v>6</v>
      </c>
      <c r="D77" s="144">
        <v>60</v>
      </c>
      <c r="E77" s="145">
        <f t="shared" si="4"/>
        <v>10</v>
      </c>
      <c r="F77" s="147"/>
      <c r="G77" s="147"/>
    </row>
    <row r="78" spans="1:5" ht="13.5" customHeight="1">
      <c r="A78" s="148" t="s">
        <v>58</v>
      </c>
      <c r="B78" s="148"/>
      <c r="C78" s="149">
        <f>C41+C51</f>
        <v>2</v>
      </c>
      <c r="D78" s="101">
        <f>+SUM(E72:E77)</f>
        <v>83.33333333333333</v>
      </c>
      <c r="E78" s="101">
        <f>C78*D78</f>
        <v>166.66666666666666</v>
      </c>
    </row>
    <row r="79" spans="4:6" ht="14.25" customHeight="1">
      <c r="D79" s="92" t="s">
        <v>33</v>
      </c>
      <c r="E79" s="150">
        <f>$B$31</f>
        <v>1</v>
      </c>
      <c r="F79" s="106">
        <f>E78*E79</f>
        <v>166.66666666666666</v>
      </c>
    </row>
    <row r="80" ht="11.25" customHeight="1">
      <c r="G80" s="1"/>
    </row>
    <row r="81" spans="1:6" s="1" customFormat="1" ht="14.25" customHeight="1">
      <c r="A81" s="136" t="s">
        <v>59</v>
      </c>
      <c r="B81" s="151"/>
      <c r="C81" s="151"/>
      <c r="D81" s="152"/>
      <c r="E81" s="153"/>
      <c r="F81" s="154">
        <f>+F79</f>
        <v>166.66666666666666</v>
      </c>
    </row>
    <row r="82" ht="11.25" customHeight="1">
      <c r="G82" s="1"/>
    </row>
    <row r="83" spans="1:7" ht="13.5" customHeight="1">
      <c r="A83" s="24" t="s">
        <v>60</v>
      </c>
      <c r="B83" s="134"/>
      <c r="D83" s="92"/>
      <c r="F83" s="135"/>
      <c r="G83" s="1"/>
    </row>
    <row r="84" spans="1:6" s="1" customFormat="1" ht="13.5" customHeight="1">
      <c r="A84" s="155" t="s">
        <v>20</v>
      </c>
      <c r="B84" s="155" t="s">
        <v>21</v>
      </c>
      <c r="C84" s="155" t="s">
        <v>10</v>
      </c>
      <c r="D84" s="155" t="s">
        <v>22</v>
      </c>
      <c r="E84" s="155" t="s">
        <v>23</v>
      </c>
      <c r="F84" s="155" t="s">
        <v>61</v>
      </c>
    </row>
    <row r="85" spans="1:6" s="1" customFormat="1" ht="12.75" customHeight="1">
      <c r="A85" s="78" t="s">
        <v>62</v>
      </c>
      <c r="B85" s="156" t="s">
        <v>63</v>
      </c>
      <c r="C85" s="157">
        <v>250</v>
      </c>
      <c r="D85" s="130">
        <v>2</v>
      </c>
      <c r="E85" s="131">
        <f>C85*D85</f>
        <v>500</v>
      </c>
      <c r="F85" s="158"/>
    </row>
    <row r="86" spans="1:6" s="1" customFormat="1" ht="11.25" customHeight="1">
      <c r="A86" s="134"/>
      <c r="B86" s="134"/>
      <c r="D86" s="92" t="s">
        <v>33</v>
      </c>
      <c r="E86" s="150">
        <v>1</v>
      </c>
      <c r="F86" s="158">
        <f>E85</f>
        <v>500</v>
      </c>
    </row>
    <row r="87" spans="1:6" s="1" customFormat="1" ht="11.25" customHeight="1">
      <c r="A87" s="134"/>
      <c r="B87" s="134"/>
      <c r="D87" s="92"/>
      <c r="E87" s="96"/>
      <c r="F87" s="135"/>
    </row>
    <row r="88" spans="1:6" s="1" customFormat="1" ht="11.25" customHeight="1">
      <c r="A88" s="159" t="s">
        <v>64</v>
      </c>
      <c r="B88" s="108"/>
      <c r="C88" s="108"/>
      <c r="D88" s="111"/>
      <c r="E88" s="111"/>
      <c r="F88" s="111"/>
    </row>
    <row r="89" spans="1:6" s="1" customFormat="1" ht="11.25" customHeight="1">
      <c r="A89" s="160" t="s">
        <v>65</v>
      </c>
      <c r="B89" s="108"/>
      <c r="C89" s="108"/>
      <c r="D89" s="111"/>
      <c r="E89" s="111"/>
      <c r="F89" s="111"/>
    </row>
    <row r="90" spans="1:6" s="1" customFormat="1" ht="11.25" customHeight="1">
      <c r="A90" s="112" t="s">
        <v>20</v>
      </c>
      <c r="B90" s="113" t="s">
        <v>21</v>
      </c>
      <c r="C90" s="113" t="s">
        <v>10</v>
      </c>
      <c r="D90" s="114" t="s">
        <v>22</v>
      </c>
      <c r="E90" s="114" t="s">
        <v>23</v>
      </c>
      <c r="F90" s="115" t="s">
        <v>24</v>
      </c>
    </row>
    <row r="91" spans="1:6" s="1" customFormat="1" ht="11.25" customHeight="1">
      <c r="A91" s="161" t="s">
        <v>66</v>
      </c>
      <c r="B91" s="125" t="s">
        <v>45</v>
      </c>
      <c r="C91" s="162">
        <v>1</v>
      </c>
      <c r="D91" s="163">
        <f>'Veículos Equip Solda'!C10+'Veículos Equip Solda'!C16</f>
        <v>186688</v>
      </c>
      <c r="E91" s="164">
        <f>C91*D91</f>
        <v>186688</v>
      </c>
      <c r="F91" s="111"/>
    </row>
    <row r="92" spans="1:6" s="1" customFormat="1" ht="11.25" customHeight="1">
      <c r="A92" s="116" t="s">
        <v>67</v>
      </c>
      <c r="B92" s="117" t="s">
        <v>68</v>
      </c>
      <c r="C92" s="165">
        <v>10</v>
      </c>
      <c r="D92" s="166"/>
      <c r="E92" s="167"/>
      <c r="F92" s="111"/>
    </row>
    <row r="93" spans="1:6" s="1" customFormat="1" ht="11.25" customHeight="1">
      <c r="A93" s="116" t="s">
        <v>69</v>
      </c>
      <c r="B93" s="117"/>
      <c r="C93" s="165">
        <v>5</v>
      </c>
      <c r="D93" s="167"/>
      <c r="E93" s="167"/>
      <c r="F93" s="168"/>
    </row>
    <row r="94" spans="1:6" s="1" customFormat="1" ht="11.25" customHeight="1">
      <c r="A94" s="116" t="s">
        <v>70</v>
      </c>
      <c r="B94" s="117" t="s">
        <v>6</v>
      </c>
      <c r="C94" s="169">
        <f>'5. Depreciação'!B12</f>
        <v>65.18</v>
      </c>
      <c r="D94" s="167">
        <f>E91</f>
        <v>186688</v>
      </c>
      <c r="E94" s="167">
        <f>C94*D94/100</f>
        <v>121683.23840000002</v>
      </c>
      <c r="F94" s="111"/>
    </row>
    <row r="95" spans="1:6" s="1" customFormat="1" ht="11.25" customHeight="1">
      <c r="A95" s="170" t="s">
        <v>71</v>
      </c>
      <c r="B95" s="171" t="s">
        <v>25</v>
      </c>
      <c r="C95" s="172">
        <f>C92*12</f>
        <v>120</v>
      </c>
      <c r="D95" s="173">
        <f>IF(C93&lt;=C92,E94,0)</f>
        <v>121683.23840000002</v>
      </c>
      <c r="E95" s="174">
        <f>_xlfn.IFERROR(D95/C95,0)</f>
        <v>1014.0269866666669</v>
      </c>
      <c r="F95" s="111"/>
    </row>
    <row r="96" spans="1:6" s="1" customFormat="1" ht="11.25" customHeight="1">
      <c r="A96" s="116"/>
      <c r="B96" s="117"/>
      <c r="C96" s="175"/>
      <c r="D96" s="167"/>
      <c r="E96" s="167"/>
      <c r="F96" s="111"/>
    </row>
    <row r="97" spans="1:6" s="1" customFormat="1" ht="11.25" customHeight="1">
      <c r="A97" s="116" t="s">
        <v>72</v>
      </c>
      <c r="B97" s="117" t="s">
        <v>73</v>
      </c>
      <c r="C97" s="176">
        <v>1</v>
      </c>
      <c r="D97" s="177">
        <f>'Veículos Equip. Injeção'!C20</f>
        <v>700</v>
      </c>
      <c r="E97" s="178">
        <f>C97*D97</f>
        <v>700</v>
      </c>
      <c r="F97" s="111"/>
    </row>
    <row r="98" spans="1:6" s="1" customFormat="1" ht="11.25" customHeight="1" hidden="1">
      <c r="A98" s="116"/>
      <c r="B98" s="117"/>
      <c r="C98" s="176"/>
      <c r="D98" s="177"/>
      <c r="E98" s="178"/>
      <c r="F98" s="111"/>
    </row>
    <row r="99" spans="1:6" s="1" customFormat="1" ht="11.25" customHeight="1">
      <c r="A99" s="116"/>
      <c r="B99" s="117"/>
      <c r="C99" s="179"/>
      <c r="D99" s="167"/>
      <c r="E99" s="167"/>
      <c r="F99" s="111"/>
    </row>
    <row r="100" spans="1:6" s="1" customFormat="1" ht="11.25" customHeight="1">
      <c r="A100" s="180" t="s">
        <v>74</v>
      </c>
      <c r="B100" s="181" t="s">
        <v>45</v>
      </c>
      <c r="C100" s="182"/>
      <c r="D100" s="167"/>
      <c r="E100" s="174">
        <f>E95+E97+E98</f>
        <v>1714.0269866666667</v>
      </c>
      <c r="F100" s="111"/>
    </row>
    <row r="101" spans="1:6" s="1" customFormat="1" ht="11.25" customHeight="1">
      <c r="A101" s="183"/>
      <c r="B101" s="183"/>
      <c r="C101" s="183"/>
      <c r="D101" s="184" t="s">
        <v>33</v>
      </c>
      <c r="E101" s="185">
        <v>1</v>
      </c>
      <c r="F101" s="186">
        <f>E100*E101</f>
        <v>1714.0269866666667</v>
      </c>
    </row>
    <row r="102" spans="1:6" s="1" customFormat="1" ht="11.25" customHeight="1">
      <c r="A102" s="134"/>
      <c r="B102" s="134"/>
      <c r="D102" s="92"/>
      <c r="E102" s="96"/>
      <c r="F102" s="135"/>
    </row>
    <row r="103" spans="1:6" s="1" customFormat="1" ht="15.75" customHeight="1">
      <c r="A103" s="187" t="s">
        <v>75</v>
      </c>
      <c r="B103" s="188"/>
      <c r="C103" s="188"/>
      <c r="D103" s="189"/>
      <c r="E103" s="190"/>
      <c r="F103" s="126">
        <f>F67+F81+F86+F101</f>
        <v>8932.322733333334</v>
      </c>
    </row>
    <row r="104" ht="11.25" customHeight="1">
      <c r="G104" s="1"/>
    </row>
    <row r="105" spans="1:6" ht="13.5" customHeight="1">
      <c r="A105" s="67" t="s">
        <v>76</v>
      </c>
      <c r="B105" s="67"/>
      <c r="C105" s="67"/>
      <c r="D105" s="23"/>
      <c r="E105" s="23"/>
      <c r="F105" s="191"/>
    </row>
    <row r="106" spans="1:6" ht="12.75" customHeight="1">
      <c r="A106" s="155" t="s">
        <v>20</v>
      </c>
      <c r="B106" s="192" t="s">
        <v>21</v>
      </c>
      <c r="C106" s="192" t="s">
        <v>10</v>
      </c>
      <c r="D106" s="193" t="s">
        <v>22</v>
      </c>
      <c r="E106" s="193" t="s">
        <v>23</v>
      </c>
      <c r="F106" s="194" t="s">
        <v>24</v>
      </c>
    </row>
    <row r="107" spans="1:6" ht="12.75" customHeight="1">
      <c r="A107" s="195" t="s">
        <v>77</v>
      </c>
      <c r="B107" s="196" t="s">
        <v>6</v>
      </c>
      <c r="C107" s="197">
        <f>'4.BDI'!C18</f>
        <v>0.3014</v>
      </c>
      <c r="D107" s="198">
        <f>F103</f>
        <v>8932.322733333334</v>
      </c>
      <c r="E107" s="198">
        <f>D107*C107</f>
        <v>2692.202071826667</v>
      </c>
      <c r="F107" s="199"/>
    </row>
    <row r="108" spans="1:6" ht="13.5" customHeight="1">
      <c r="A108" s="200"/>
      <c r="B108" s="200"/>
      <c r="C108" s="200"/>
      <c r="D108" s="200"/>
      <c r="E108" s="200"/>
      <c r="F108" s="201"/>
    </row>
    <row r="109" spans="1:6" ht="14.25" customHeight="1">
      <c r="A109" s="202" t="s">
        <v>78</v>
      </c>
      <c r="B109" s="202"/>
      <c r="C109" s="202"/>
      <c r="D109" s="202"/>
      <c r="E109" s="202"/>
      <c r="F109" s="154">
        <f>E107</f>
        <v>2692.202071826667</v>
      </c>
    </row>
    <row r="110" ht="11.25" customHeight="1"/>
    <row r="111" spans="1:6" ht="24.75" customHeight="1">
      <c r="A111" s="203" t="s">
        <v>79</v>
      </c>
      <c r="B111" s="204"/>
      <c r="C111" s="204"/>
      <c r="D111" s="205"/>
      <c r="E111" s="206"/>
      <c r="F111" s="133">
        <f>F67+F81+F109+F86+F101</f>
        <v>11624.52480516</v>
      </c>
    </row>
    <row r="112" spans="1:6" ht="13.5" customHeight="1">
      <c r="A112" s="67"/>
      <c r="B112" s="63"/>
      <c r="C112" s="63"/>
      <c r="F112" s="207"/>
    </row>
    <row r="113" spans="1:6" ht="13.5" customHeight="1">
      <c r="A113" s="208" t="s">
        <v>80</v>
      </c>
      <c r="B113" s="209"/>
      <c r="C113" s="209"/>
      <c r="D113" s="210"/>
      <c r="E113" s="210"/>
      <c r="F113" s="211">
        <v>183.33</v>
      </c>
    </row>
    <row r="114" spans="1:6" ht="13.5" customHeight="1">
      <c r="A114" s="67"/>
      <c r="B114" s="63"/>
      <c r="C114" s="63"/>
      <c r="F114" s="207"/>
    </row>
    <row r="115" spans="1:6" ht="13.5" customHeight="1">
      <c r="A115" s="203" t="s">
        <v>94</v>
      </c>
      <c r="B115" s="204"/>
      <c r="C115" s="204"/>
      <c r="D115" s="205"/>
      <c r="E115" s="206"/>
      <c r="F115" s="133">
        <f>F111/F113</f>
        <v>63.40765180363279</v>
      </c>
    </row>
    <row r="116" spans="1:7" ht="12" customHeight="1">
      <c r="A116" s="212"/>
      <c r="B116" s="212"/>
      <c r="C116" s="212"/>
      <c r="D116" s="213"/>
      <c r="E116" s="213"/>
      <c r="F116" s="213"/>
      <c r="G116" s="214"/>
    </row>
    <row r="117" ht="12.75" customHeight="1">
      <c r="A117" s="24" t="s">
        <v>84</v>
      </c>
    </row>
  </sheetData>
  <sheetProtection selectLockedCells="1" selectUnlockedCells="1"/>
  <mergeCells count="14">
    <mergeCell ref="A1:F1"/>
    <mergeCell ref="A2:F3"/>
    <mergeCell ref="A4:F4"/>
    <mergeCell ref="A6:F6"/>
    <mergeCell ref="A13:C13"/>
    <mergeCell ref="A20:E20"/>
    <mergeCell ref="A21:D21"/>
    <mergeCell ref="A34:F34"/>
    <mergeCell ref="A43:D43"/>
    <mergeCell ref="A52:C52"/>
    <mergeCell ref="A53:D53"/>
    <mergeCell ref="F76:G76"/>
    <mergeCell ref="A78:B78"/>
    <mergeCell ref="A109:E109"/>
  </mergeCells>
  <hyperlinks>
    <hyperlink ref="A89" location="AbaDeprec" display="4.1. Depreciação/manutenção "/>
  </hyperlinks>
  <printOptions horizontalCentered="1"/>
  <pageMargins left="0.5118055555555555" right="0.5118055555555555" top="0.15763888888888888" bottom="0.35486111111111107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3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1">
      <pane ySplit="1" topLeftCell="A108" activePane="bottomLeft" state="frozen"/>
      <selection pane="topLeft" activeCell="A1" sqref="A1"/>
      <selection pane="bottomLeft" activeCell="A117" sqref="A117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95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A33</f>
        <v>0</v>
      </c>
      <c r="B8" s="19"/>
      <c r="C8" s="20"/>
      <c r="D8" s="20"/>
      <c r="E8" s="21">
        <f>+F67</f>
        <v>6551.62908</v>
      </c>
      <c r="F8" s="22">
        <f aca="true" t="shared" si="1" ref="F8:F17">E8/$E$18</f>
        <v>0.5636040345573354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F42</f>
        <v>3160.70496</v>
      </c>
      <c r="F9" s="29">
        <f t="shared" si="1"/>
        <v>0.2718997131475858</v>
      </c>
      <c r="G9" s="2"/>
    </row>
    <row r="10" spans="1:7" s="4" customFormat="1" ht="15.75" customHeight="1">
      <c r="A10" s="25">
        <f>A44</f>
        <v>0</v>
      </c>
      <c r="B10" s="26"/>
      <c r="C10" s="27"/>
      <c r="D10" s="27"/>
      <c r="E10" s="28">
        <f>F52</f>
        <v>2714.4633599999997</v>
      </c>
      <c r="F10" s="29">
        <f t="shared" si="1"/>
        <v>0.23351176977101715</v>
      </c>
      <c r="G10" s="2"/>
    </row>
    <row r="11" spans="1:7" s="4" customFormat="1" ht="15.75" customHeight="1">
      <c r="A11" s="25">
        <f>A54</f>
        <v>0</v>
      </c>
      <c r="B11" s="26"/>
      <c r="C11" s="27"/>
      <c r="D11" s="27"/>
      <c r="E11" s="28">
        <f>F60</f>
        <v>84.17256000000002</v>
      </c>
      <c r="F11" s="29">
        <f t="shared" si="1"/>
        <v>0.007240946310565464</v>
      </c>
      <c r="G11" s="2"/>
    </row>
    <row r="12" spans="1:7" s="4" customFormat="1" ht="15.75" customHeight="1">
      <c r="A12" s="25">
        <f>A62</f>
        <v>0</v>
      </c>
      <c r="B12" s="26"/>
      <c r="C12" s="27"/>
      <c r="D12" s="27"/>
      <c r="E12" s="28">
        <f>F65</f>
        <v>592.2882000000001</v>
      </c>
      <c r="F12" s="29">
        <f t="shared" si="1"/>
        <v>0.05095160532816703</v>
      </c>
      <c r="G12" s="2"/>
    </row>
    <row r="13" spans="1:7" s="24" customFormat="1" ht="15.75" customHeight="1">
      <c r="A13" s="30">
        <f aca="true" t="shared" si="2" ref="A13:A14">A69</f>
        <v>0</v>
      </c>
      <c r="B13" s="30"/>
      <c r="C13" s="30"/>
      <c r="D13" s="20"/>
      <c r="E13" s="21">
        <f>+F81</f>
        <v>166.66666666666666</v>
      </c>
      <c r="F13" s="22">
        <f t="shared" si="1"/>
        <v>0.014337503636508663</v>
      </c>
      <c r="G13" s="23"/>
    </row>
    <row r="14" spans="1:7" s="24" customFormat="1" ht="15.75" customHeight="1">
      <c r="A14" s="31">
        <f t="shared" si="2"/>
        <v>0</v>
      </c>
      <c r="B14" s="32"/>
      <c r="C14" s="32"/>
      <c r="D14" s="20"/>
      <c r="E14" s="33">
        <f>F79</f>
        <v>166.66666666666666</v>
      </c>
      <c r="F14" s="29">
        <f t="shared" si="1"/>
        <v>0.014337503636508663</v>
      </c>
      <c r="G14" s="23"/>
    </row>
    <row r="15" spans="1:7" s="24" customFormat="1" ht="15.75" customHeight="1">
      <c r="A15" s="30">
        <f>A83</f>
        <v>0</v>
      </c>
      <c r="B15" s="32"/>
      <c r="C15" s="32"/>
      <c r="D15" s="20"/>
      <c r="E15" s="34">
        <f>F86</f>
        <v>500</v>
      </c>
      <c r="F15" s="22">
        <f t="shared" si="1"/>
        <v>0.04301251090952599</v>
      </c>
      <c r="G15" s="23"/>
    </row>
    <row r="16" spans="1:7" s="24" customFormat="1" ht="15.75" customHeight="1">
      <c r="A16" s="30">
        <f>A88</f>
        <v>0</v>
      </c>
      <c r="B16" s="32"/>
      <c r="C16" s="32"/>
      <c r="D16" s="20"/>
      <c r="E16" s="34">
        <f>F101</f>
        <v>1714.0269866666667</v>
      </c>
      <c r="F16" s="22">
        <f t="shared" si="1"/>
        <v>0.14744920892644395</v>
      </c>
      <c r="G16" s="23"/>
    </row>
    <row r="17" spans="1:7" s="24" customFormat="1" ht="15.75" customHeight="1">
      <c r="A17" s="30">
        <f>A105</f>
        <v>0</v>
      </c>
      <c r="B17" s="35"/>
      <c r="C17" s="20"/>
      <c r="D17" s="20"/>
      <c r="E17" s="36">
        <f>F109</f>
        <v>2692.202071826667</v>
      </c>
      <c r="F17" s="22">
        <f t="shared" si="1"/>
        <v>0.231596741970186</v>
      </c>
      <c r="G17" s="23"/>
    </row>
    <row r="18" spans="1:7" s="4" customFormat="1" ht="15.75" customHeight="1">
      <c r="A18" s="37" t="s">
        <v>7</v>
      </c>
      <c r="B18" s="38"/>
      <c r="C18" s="39"/>
      <c r="D18" s="39"/>
      <c r="E18" s="40">
        <f>E8+E13+E17+E15+E16</f>
        <v>11624.52480516</v>
      </c>
      <c r="F18" s="41">
        <f>F8+F13+F17+F15+F16</f>
        <v>1</v>
      </c>
      <c r="G18" s="2"/>
    </row>
    <row r="19" spans="1:7" s="4" customFormat="1" ht="15.75" customHeight="1">
      <c r="A19" s="42"/>
      <c r="B19" s="43"/>
      <c r="C19" s="23"/>
      <c r="D19" s="23"/>
      <c r="E19" s="44"/>
      <c r="F19" s="45"/>
      <c r="G19" s="2"/>
    </row>
    <row r="20" spans="1:7" s="4" customFormat="1" ht="15" customHeight="1">
      <c r="A20" s="12" t="s">
        <v>8</v>
      </c>
      <c r="B20" s="12"/>
      <c r="C20" s="12"/>
      <c r="D20" s="12"/>
      <c r="E20" s="12"/>
      <c r="F20" s="2"/>
      <c r="G20" s="2"/>
    </row>
    <row r="21" spans="1:7" s="4" customFormat="1" ht="15" customHeight="1">
      <c r="A21" s="46" t="s">
        <v>9</v>
      </c>
      <c r="B21" s="46"/>
      <c r="C21" s="46"/>
      <c r="D21" s="46"/>
      <c r="E21" s="47" t="s">
        <v>10</v>
      </c>
      <c r="F21" s="2"/>
      <c r="G21" s="2"/>
    </row>
    <row r="22" spans="1:7" s="4" customFormat="1" ht="15" customHeight="1">
      <c r="A22" s="48">
        <f>A34</f>
        <v>0</v>
      </c>
      <c r="B22" s="14"/>
      <c r="C22" s="14"/>
      <c r="D22" s="49"/>
      <c r="E22" s="50">
        <v>1</v>
      </c>
      <c r="F22" s="2"/>
      <c r="G22" s="2"/>
    </row>
    <row r="23" spans="1:7" s="4" customFormat="1" ht="15" customHeight="1">
      <c r="A23" s="51" t="s">
        <v>11</v>
      </c>
      <c r="B23" s="52"/>
      <c r="C23" s="52"/>
      <c r="D23" s="53"/>
      <c r="E23" s="54">
        <v>1567.81</v>
      </c>
      <c r="F23" s="2"/>
      <c r="G23" s="2"/>
    </row>
    <row r="24" spans="1:7" s="4" customFormat="1" ht="15" customHeight="1">
      <c r="A24" s="51" t="s">
        <v>12</v>
      </c>
      <c r="B24" s="52"/>
      <c r="C24" s="52"/>
      <c r="D24" s="53"/>
      <c r="E24" s="55">
        <v>20</v>
      </c>
      <c r="F24" s="2"/>
      <c r="G24" s="2"/>
    </row>
    <row r="25" spans="1:6" s="4" customFormat="1" ht="15" customHeight="1">
      <c r="A25" s="51" t="s">
        <v>13</v>
      </c>
      <c r="B25" s="52"/>
      <c r="C25" s="52"/>
      <c r="D25" s="53"/>
      <c r="E25" s="55">
        <v>220</v>
      </c>
      <c r="F25" s="2"/>
    </row>
    <row r="26" spans="1:6" s="4" customFormat="1" ht="15" customHeight="1">
      <c r="A26" s="18">
        <f>+A44</f>
        <v>0</v>
      </c>
      <c r="B26" s="27"/>
      <c r="C26" s="27"/>
      <c r="D26" s="56"/>
      <c r="E26" s="57">
        <v>1</v>
      </c>
      <c r="F26" s="2"/>
    </row>
    <row r="27" spans="1:6" s="4" customFormat="1" ht="15" customHeight="1">
      <c r="A27" s="51" t="s">
        <v>14</v>
      </c>
      <c r="B27" s="27"/>
      <c r="C27" s="27"/>
      <c r="D27" s="56"/>
      <c r="E27" s="58">
        <v>1346.46</v>
      </c>
      <c r="F27" s="2"/>
    </row>
    <row r="28" spans="1:7" s="4" customFormat="1" ht="15" customHeight="1">
      <c r="A28" s="25" t="s">
        <v>15</v>
      </c>
      <c r="B28" s="27"/>
      <c r="C28" s="27"/>
      <c r="D28" s="56"/>
      <c r="E28" s="57">
        <v>220</v>
      </c>
      <c r="F28" s="2"/>
      <c r="G28" s="2"/>
    </row>
    <row r="29" spans="1:7" s="4" customFormat="1" ht="15" customHeight="1">
      <c r="A29" s="59" t="s">
        <v>16</v>
      </c>
      <c r="B29" s="60"/>
      <c r="C29" s="60"/>
      <c r="D29" s="61"/>
      <c r="E29" s="62">
        <f>E22+E26</f>
        <v>2</v>
      </c>
      <c r="F29" s="2"/>
      <c r="G29" s="2"/>
    </row>
    <row r="30" spans="1:7" s="4" customFormat="1" ht="14.25" customHeight="1">
      <c r="A30" s="2"/>
      <c r="B30" s="2"/>
      <c r="C30" s="2"/>
      <c r="D30" s="63"/>
      <c r="E30" s="64"/>
      <c r="F30" s="1"/>
      <c r="G30" s="2"/>
    </row>
    <row r="31" spans="1:7" s="24" customFormat="1" ht="15.75" customHeight="1">
      <c r="A31" s="65" t="s">
        <v>17</v>
      </c>
      <c r="B31" s="66">
        <f>Horários!F17</f>
        <v>1</v>
      </c>
      <c r="C31" s="23"/>
      <c r="D31" s="67"/>
      <c r="E31" s="68"/>
      <c r="G31" s="23"/>
    </row>
    <row r="32" spans="1:7" s="4" customFormat="1" ht="15.75" customHeight="1">
      <c r="A32" s="2"/>
      <c r="B32" s="2"/>
      <c r="C32" s="2"/>
      <c r="D32" s="63"/>
      <c r="E32" s="64"/>
      <c r="F32" s="1"/>
      <c r="G32" s="2"/>
    </row>
    <row r="33" ht="12.75" customHeight="1">
      <c r="A33" s="24" t="s">
        <v>18</v>
      </c>
    </row>
    <row r="34" spans="1:6" ht="13.5" customHeight="1">
      <c r="A34" s="69" t="s">
        <v>96</v>
      </c>
      <c r="B34" s="69"/>
      <c r="C34" s="69"/>
      <c r="D34" s="69"/>
      <c r="E34" s="69"/>
      <c r="F34" s="69"/>
    </row>
    <row r="35" spans="1:6" ht="13.5" customHeight="1">
      <c r="A35" s="70" t="s">
        <v>20</v>
      </c>
      <c r="B35" s="71" t="s">
        <v>21</v>
      </c>
      <c r="C35" s="71" t="s">
        <v>10</v>
      </c>
      <c r="D35" s="72" t="s">
        <v>22</v>
      </c>
      <c r="E35" s="72" t="s">
        <v>23</v>
      </c>
      <c r="F35" s="73" t="s">
        <v>24</v>
      </c>
    </row>
    <row r="36" spans="1:5" ht="12.75" customHeight="1">
      <c r="A36" s="74" t="s">
        <v>11</v>
      </c>
      <c r="B36" s="75" t="s">
        <v>25</v>
      </c>
      <c r="C36" s="75">
        <v>1</v>
      </c>
      <c r="D36" s="76">
        <f>E23</f>
        <v>1567.81</v>
      </c>
      <c r="E36" s="77">
        <f>C36*D36</f>
        <v>1567.81</v>
      </c>
    </row>
    <row r="37" spans="1:8" ht="12.75" customHeight="1">
      <c r="A37" s="78" t="s">
        <v>12</v>
      </c>
      <c r="B37" s="79" t="s">
        <v>6</v>
      </c>
      <c r="C37" s="80">
        <f>E24</f>
        <v>20</v>
      </c>
      <c r="D37" s="81">
        <f>SUM(E36:E36)</f>
        <v>1567.81</v>
      </c>
      <c r="E37" s="82">
        <f>C37*D37/100</f>
        <v>313.56199999999995</v>
      </c>
      <c r="H37" s="74" t="s">
        <v>11</v>
      </c>
    </row>
    <row r="38" spans="1:8" ht="12.75" customHeight="1">
      <c r="A38" s="83" t="s">
        <v>26</v>
      </c>
      <c r="B38" s="84"/>
      <c r="C38" s="84"/>
      <c r="D38" s="85"/>
      <c r="E38" s="86">
        <f>SUM(E36:E37)</f>
        <v>1881.3719999999998</v>
      </c>
      <c r="H38" s="87" t="s">
        <v>26</v>
      </c>
    </row>
    <row r="39" spans="1:9" ht="12.75" customHeight="1">
      <c r="A39" s="78" t="s">
        <v>27</v>
      </c>
      <c r="B39" s="79" t="s">
        <v>6</v>
      </c>
      <c r="C39" s="88">
        <f>'2.Encargos Sociais'!$C$34*100</f>
        <v>68</v>
      </c>
      <c r="D39" s="81">
        <f>E36+E37</f>
        <v>1881.3719999999998</v>
      </c>
      <c r="E39" s="82">
        <f>D39*C39/100</f>
        <v>1279.33296</v>
      </c>
      <c r="H39" s="78" t="s">
        <v>27</v>
      </c>
      <c r="I39" s="89"/>
    </row>
    <row r="40" spans="1:8" ht="12.75" customHeight="1">
      <c r="A40" s="83" t="s">
        <v>28</v>
      </c>
      <c r="B40" s="84"/>
      <c r="C40" s="84"/>
      <c r="D40" s="85"/>
      <c r="E40" s="90">
        <f>E36+E37+E39</f>
        <v>3160.70496</v>
      </c>
      <c r="H40" s="87" t="s">
        <v>29</v>
      </c>
    </row>
    <row r="41" spans="1:8" ht="13.5" customHeight="1">
      <c r="A41" s="78" t="s">
        <v>30</v>
      </c>
      <c r="B41" s="79" t="s">
        <v>31</v>
      </c>
      <c r="C41" s="80">
        <f>E22</f>
        <v>1</v>
      </c>
      <c r="D41" s="81">
        <f>E40</f>
        <v>3160.70496</v>
      </c>
      <c r="E41" s="82">
        <f>C41*D41</f>
        <v>3160.70496</v>
      </c>
      <c r="H41" s="78" t="s">
        <v>30</v>
      </c>
    </row>
    <row r="42" spans="1:6" ht="13.5" customHeight="1">
      <c r="A42" s="91" t="s">
        <v>32</v>
      </c>
      <c r="D42" s="92" t="s">
        <v>33</v>
      </c>
      <c r="E42" s="93">
        <f>$B$31</f>
        <v>1</v>
      </c>
      <c r="F42" s="94">
        <f>(((E36+E39)*E42)+E37)*C41</f>
        <v>3160.70496</v>
      </c>
    </row>
    <row r="43" spans="1:9" ht="13.5" customHeight="1">
      <c r="A43" s="95"/>
      <c r="B43" s="95"/>
      <c r="C43" s="95"/>
      <c r="D43" s="95"/>
      <c r="E43" s="96"/>
      <c r="F43" s="97"/>
      <c r="I43" s="89"/>
    </row>
    <row r="44" ht="13.5" customHeight="1">
      <c r="A44" s="1" t="s">
        <v>97</v>
      </c>
    </row>
    <row r="45" spans="1:7" s="91" customFormat="1" ht="12.75" customHeight="1">
      <c r="A45" s="70" t="s">
        <v>20</v>
      </c>
      <c r="B45" s="71" t="s">
        <v>21</v>
      </c>
      <c r="C45" s="71" t="s">
        <v>10</v>
      </c>
      <c r="D45" s="72" t="s">
        <v>22</v>
      </c>
      <c r="E45" s="72" t="s">
        <v>23</v>
      </c>
      <c r="F45" s="73" t="s">
        <v>24</v>
      </c>
      <c r="G45" s="2"/>
    </row>
    <row r="46" spans="1:5" ht="13.5" customHeight="1">
      <c r="A46" s="74" t="s">
        <v>11</v>
      </c>
      <c r="B46" s="75" t="s">
        <v>25</v>
      </c>
      <c r="C46" s="75">
        <v>1</v>
      </c>
      <c r="D46" s="98">
        <f>E27</f>
        <v>1346.46</v>
      </c>
      <c r="E46" s="99">
        <f>C46*D46</f>
        <v>1346.46</v>
      </c>
    </row>
    <row r="47" spans="1:5" ht="12.75" customHeight="1">
      <c r="A47" s="78" t="s">
        <v>12</v>
      </c>
      <c r="B47" s="79" t="s">
        <v>6</v>
      </c>
      <c r="C47" s="80">
        <f>C37</f>
        <v>20</v>
      </c>
      <c r="D47" s="81">
        <f>SUM(E46:E46)</f>
        <v>1346.46</v>
      </c>
      <c r="E47" s="82">
        <f>C47*D47/100</f>
        <v>269.29200000000003</v>
      </c>
    </row>
    <row r="48" spans="1:7" s="24" customFormat="1" ht="12.75" customHeight="1">
      <c r="A48" s="78" t="s">
        <v>26</v>
      </c>
      <c r="B48" s="84"/>
      <c r="C48" s="84"/>
      <c r="D48" s="100"/>
      <c r="E48" s="86">
        <f>SUM(E46:E47)</f>
        <v>1615.752</v>
      </c>
      <c r="F48" s="23"/>
      <c r="G48" s="23"/>
    </row>
    <row r="49" spans="1:5" ht="12.75" customHeight="1">
      <c r="A49" s="78" t="s">
        <v>27</v>
      </c>
      <c r="B49" s="79" t="s">
        <v>6</v>
      </c>
      <c r="C49" s="88">
        <f>'2.Encargos Sociais'!$C$34*100</f>
        <v>68</v>
      </c>
      <c r="D49" s="101">
        <f>E48</f>
        <v>1615.752</v>
      </c>
      <c r="E49" s="102">
        <f>D49*C49/100</f>
        <v>1098.71136</v>
      </c>
    </row>
    <row r="50" spans="1:7" s="24" customFormat="1" ht="12.75" customHeight="1">
      <c r="A50" s="78" t="s">
        <v>29</v>
      </c>
      <c r="B50" s="103"/>
      <c r="C50" s="103"/>
      <c r="D50" s="104"/>
      <c r="E50" s="102">
        <f>E48+E49</f>
        <v>2714.4633599999997</v>
      </c>
      <c r="F50" s="23"/>
      <c r="G50" s="23"/>
    </row>
    <row r="51" spans="1:5" ht="13.5" customHeight="1">
      <c r="A51" s="78" t="s">
        <v>30</v>
      </c>
      <c r="B51" s="79" t="s">
        <v>31</v>
      </c>
      <c r="C51" s="80">
        <v>1</v>
      </c>
      <c r="D51" s="101">
        <f>E50</f>
        <v>2714.4633599999997</v>
      </c>
      <c r="E51" s="102">
        <f>C51*D51</f>
        <v>2714.4633599999997</v>
      </c>
    </row>
    <row r="52" spans="1:6" ht="14.25" customHeight="1">
      <c r="A52" s="105" t="s">
        <v>32</v>
      </c>
      <c r="B52" s="105"/>
      <c r="C52" s="105"/>
      <c r="D52" s="92" t="s">
        <v>33</v>
      </c>
      <c r="E52" s="93">
        <f>$B$31</f>
        <v>1</v>
      </c>
      <c r="F52" s="106">
        <f>E51*E52</f>
        <v>2714.4633599999997</v>
      </c>
    </row>
    <row r="53" spans="1:6" ht="12.75" customHeight="1">
      <c r="A53" s="107"/>
      <c r="B53" s="107"/>
      <c r="C53" s="107"/>
      <c r="D53" s="107"/>
      <c r="E53" s="96"/>
      <c r="F53" s="97"/>
    </row>
    <row r="54" spans="1:6" ht="12.75" customHeight="1">
      <c r="A54" s="108" t="s">
        <v>35</v>
      </c>
      <c r="B54" s="109"/>
      <c r="C54" s="108"/>
      <c r="D54" s="108"/>
      <c r="E54" s="110"/>
      <c r="F54" s="111"/>
    </row>
    <row r="55" spans="1:6" ht="12.75" customHeight="1">
      <c r="A55" s="112" t="s">
        <v>20</v>
      </c>
      <c r="B55" s="113" t="s">
        <v>21</v>
      </c>
      <c r="C55" s="113" t="s">
        <v>10</v>
      </c>
      <c r="D55" s="114" t="s">
        <v>22</v>
      </c>
      <c r="E55" s="114" t="s">
        <v>23</v>
      </c>
      <c r="F55" s="115" t="s">
        <v>24</v>
      </c>
    </row>
    <row r="56" spans="1:6" ht="12.75" customHeight="1">
      <c r="A56" s="116" t="s">
        <v>36</v>
      </c>
      <c r="B56" s="117" t="s">
        <v>37</v>
      </c>
      <c r="C56" s="118">
        <v>1</v>
      </c>
      <c r="D56" s="119">
        <v>3.5</v>
      </c>
      <c r="E56" s="120"/>
      <c r="F56" s="111"/>
    </row>
    <row r="57" spans="1:6" ht="12.75" customHeight="1">
      <c r="A57" s="116" t="s">
        <v>38</v>
      </c>
      <c r="B57" s="117" t="s">
        <v>39</v>
      </c>
      <c r="C57" s="121">
        <v>21</v>
      </c>
      <c r="D57" s="120"/>
      <c r="E57" s="120"/>
      <c r="F57" s="111"/>
    </row>
    <row r="58" spans="1:6" ht="12.75" customHeight="1">
      <c r="A58" s="116" t="s">
        <v>40</v>
      </c>
      <c r="B58" s="117" t="s">
        <v>41</v>
      </c>
      <c r="C58" s="122">
        <f>C41*2*(C57)</f>
        <v>42</v>
      </c>
      <c r="D58" s="123">
        <f>$D$56-((E38*0.06)/C58)</f>
        <v>0.8123257142857145</v>
      </c>
      <c r="E58" s="120">
        <f aca="true" t="shared" si="3" ref="E58:E59">_xlfn.IFERROR(C58*D58,"-")</f>
        <v>34.11768000000001</v>
      </c>
      <c r="F58" s="111"/>
    </row>
    <row r="59" spans="1:6" ht="12.75" customHeight="1">
      <c r="A59" s="124" t="s">
        <v>42</v>
      </c>
      <c r="B59" s="125" t="s">
        <v>41</v>
      </c>
      <c r="C59" s="122">
        <f>C51*2*(C57)</f>
        <v>42</v>
      </c>
      <c r="D59" s="123">
        <f>$D$56-((E48*0.06)/C59)</f>
        <v>1.1917828571428575</v>
      </c>
      <c r="E59" s="123">
        <f t="shared" si="3"/>
        <v>50.05488000000001</v>
      </c>
      <c r="F59" s="111"/>
    </row>
    <row r="60" spans="1:6" ht="12.75" customHeight="1">
      <c r="A60" s="108"/>
      <c r="B60" s="108"/>
      <c r="C60" s="108"/>
      <c r="D60" s="111"/>
      <c r="E60" s="111"/>
      <c r="F60" s="126">
        <f>SUM(E58:E59)</f>
        <v>84.17256000000002</v>
      </c>
    </row>
    <row r="61" spans="1:6" ht="12.75" customHeight="1">
      <c r="A61" s="107"/>
      <c r="B61" s="107"/>
      <c r="C61" s="107"/>
      <c r="D61" s="107"/>
      <c r="E61" s="96"/>
      <c r="F61" s="97"/>
    </row>
    <row r="62" spans="1:9" ht="13.5" customHeight="1">
      <c r="A62" s="1" t="s">
        <v>43</v>
      </c>
      <c r="F62" s="23"/>
      <c r="I62" s="127"/>
    </row>
    <row r="63" spans="1:11" ht="14.25" customHeight="1">
      <c r="A63" s="70" t="s">
        <v>20</v>
      </c>
      <c r="B63" s="71" t="s">
        <v>21</v>
      </c>
      <c r="C63" s="71" t="s">
        <v>10</v>
      </c>
      <c r="D63" s="72" t="s">
        <v>22</v>
      </c>
      <c r="E63" s="72" t="s">
        <v>23</v>
      </c>
      <c r="F63" s="73" t="s">
        <v>24</v>
      </c>
      <c r="K63" s="128"/>
    </row>
    <row r="64" spans="1:9" ht="14.25" customHeight="1">
      <c r="A64" s="78" t="s">
        <v>44</v>
      </c>
      <c r="B64" s="79" t="s">
        <v>45</v>
      </c>
      <c r="C64" s="129">
        <f>2*21</f>
        <v>42</v>
      </c>
      <c r="D64" s="130">
        <f>17.41*0.81</f>
        <v>14.102100000000002</v>
      </c>
      <c r="E64" s="131">
        <f>C64*D64</f>
        <v>592.2882000000001</v>
      </c>
      <c r="F64" s="23"/>
      <c r="I64" s="127"/>
    </row>
    <row r="65" spans="1:6" s="1" customFormat="1" ht="14.25" customHeight="1">
      <c r="A65" s="132" t="s">
        <v>46</v>
      </c>
      <c r="B65" s="132"/>
      <c r="D65" s="92" t="s">
        <v>33</v>
      </c>
      <c r="E65" s="93">
        <f>E42</f>
        <v>1</v>
      </c>
      <c r="F65" s="133">
        <f>SUM(E64:E64)*E65</f>
        <v>592.2882000000001</v>
      </c>
    </row>
    <row r="66" spans="1:7" ht="14.25" customHeight="1">
      <c r="A66" s="134"/>
      <c r="B66" s="134"/>
      <c r="D66" s="92"/>
      <c r="F66" s="135"/>
      <c r="G66" s="1"/>
    </row>
    <row r="67" spans="1:8" s="1" customFormat="1" ht="14.25" customHeight="1">
      <c r="A67" s="136" t="s">
        <v>47</v>
      </c>
      <c r="B67" s="137"/>
      <c r="C67" s="137"/>
      <c r="D67" s="138"/>
      <c r="E67" s="139"/>
      <c r="F67" s="140">
        <f>F65+F42+F52+F60</f>
        <v>6551.62908</v>
      </c>
      <c r="H67" s="141"/>
    </row>
    <row r="68" ht="15" customHeight="1"/>
    <row r="69" spans="1:7" ht="12.75" customHeight="1">
      <c r="A69" s="24" t="s">
        <v>48</v>
      </c>
      <c r="G69" s="1"/>
    </row>
    <row r="70" spans="1:7" ht="13.5" customHeight="1">
      <c r="A70" s="1" t="s">
        <v>49</v>
      </c>
      <c r="G70" s="1"/>
    </row>
    <row r="71" spans="1:6" s="1" customFormat="1" ht="27.75" customHeight="1">
      <c r="A71" s="70" t="s">
        <v>20</v>
      </c>
      <c r="B71" s="71" t="s">
        <v>21</v>
      </c>
      <c r="C71" s="142" t="s">
        <v>50</v>
      </c>
      <c r="D71" s="72" t="s">
        <v>22</v>
      </c>
      <c r="E71" s="72" t="s">
        <v>23</v>
      </c>
      <c r="F71" s="73" t="s">
        <v>24</v>
      </c>
    </row>
    <row r="72" spans="1:7" ht="12.75" customHeight="1">
      <c r="A72" s="78" t="s">
        <v>51</v>
      </c>
      <c r="B72" s="79" t="s">
        <v>45</v>
      </c>
      <c r="C72" s="143">
        <v>3</v>
      </c>
      <c r="D72" s="144">
        <v>55</v>
      </c>
      <c r="E72" s="145">
        <f aca="true" t="shared" si="4" ref="E72:E77">_xlfn.IFERROR(D72/C72,0)</f>
        <v>18.333333333333332</v>
      </c>
      <c r="G72" s="1"/>
    </row>
    <row r="73" spans="1:7" ht="12.75" customHeight="1">
      <c r="A73" s="78" t="s">
        <v>52</v>
      </c>
      <c r="B73" s="79" t="s">
        <v>45</v>
      </c>
      <c r="C73" s="143">
        <v>3</v>
      </c>
      <c r="D73" s="144">
        <v>40</v>
      </c>
      <c r="E73" s="145">
        <f t="shared" si="4"/>
        <v>13.333333333333334</v>
      </c>
      <c r="G73" s="1"/>
    </row>
    <row r="74" spans="1:7" ht="12.75" customHeight="1">
      <c r="A74" s="78" t="s">
        <v>53</v>
      </c>
      <c r="B74" s="79" t="s">
        <v>45</v>
      </c>
      <c r="C74" s="143">
        <v>3</v>
      </c>
      <c r="D74" s="144">
        <v>40</v>
      </c>
      <c r="E74" s="145">
        <f t="shared" si="4"/>
        <v>13.333333333333334</v>
      </c>
      <c r="G74" s="1"/>
    </row>
    <row r="75" spans="1:7" ht="13.5" customHeight="1">
      <c r="A75" s="78" t="s">
        <v>54</v>
      </c>
      <c r="B75" s="79" t="s">
        <v>55</v>
      </c>
      <c r="C75" s="143">
        <v>6</v>
      </c>
      <c r="D75" s="144">
        <v>50</v>
      </c>
      <c r="E75" s="145">
        <f t="shared" si="4"/>
        <v>8.333333333333334</v>
      </c>
      <c r="G75" s="1"/>
    </row>
    <row r="76" spans="1:7" ht="12.75" customHeight="1">
      <c r="A76" s="78" t="s">
        <v>56</v>
      </c>
      <c r="B76" s="79" t="s">
        <v>55</v>
      </c>
      <c r="C76" s="143">
        <v>0.05</v>
      </c>
      <c r="D76" s="144">
        <v>1</v>
      </c>
      <c r="E76" s="145">
        <f t="shared" si="4"/>
        <v>20</v>
      </c>
      <c r="F76" s="146"/>
      <c r="G76" s="146"/>
    </row>
    <row r="77" spans="1:7" ht="12.75" customHeight="1">
      <c r="A77" s="78" t="s">
        <v>57</v>
      </c>
      <c r="B77" s="79" t="s">
        <v>45</v>
      </c>
      <c r="C77" s="143">
        <v>6</v>
      </c>
      <c r="D77" s="144">
        <v>60</v>
      </c>
      <c r="E77" s="145">
        <f t="shared" si="4"/>
        <v>10</v>
      </c>
      <c r="F77" s="147"/>
      <c r="G77" s="147"/>
    </row>
    <row r="78" spans="1:5" ht="13.5" customHeight="1">
      <c r="A78" s="148" t="s">
        <v>58</v>
      </c>
      <c r="B78" s="148"/>
      <c r="C78" s="149">
        <f>C41+C51</f>
        <v>2</v>
      </c>
      <c r="D78" s="101">
        <f>+SUM(E72:E77)</f>
        <v>83.33333333333333</v>
      </c>
      <c r="E78" s="101">
        <f>C78*D78</f>
        <v>166.66666666666666</v>
      </c>
    </row>
    <row r="79" spans="4:6" ht="14.25" customHeight="1">
      <c r="D79" s="92" t="s">
        <v>33</v>
      </c>
      <c r="E79" s="150">
        <f>$B$31</f>
        <v>1</v>
      </c>
      <c r="F79" s="106">
        <f>E78*E79</f>
        <v>166.66666666666666</v>
      </c>
    </row>
    <row r="80" ht="11.25" customHeight="1">
      <c r="G80" s="1"/>
    </row>
    <row r="81" spans="1:6" s="1" customFormat="1" ht="14.25" customHeight="1">
      <c r="A81" s="136" t="s">
        <v>59</v>
      </c>
      <c r="B81" s="151"/>
      <c r="C81" s="151"/>
      <c r="D81" s="152"/>
      <c r="E81" s="153"/>
      <c r="F81" s="154">
        <f>+F79</f>
        <v>166.66666666666666</v>
      </c>
    </row>
    <row r="82" ht="11.25" customHeight="1">
      <c r="G82" s="1"/>
    </row>
    <row r="83" spans="1:7" ht="13.5" customHeight="1">
      <c r="A83" s="24" t="s">
        <v>60</v>
      </c>
      <c r="B83" s="134"/>
      <c r="D83" s="92"/>
      <c r="F83" s="135"/>
      <c r="G83" s="1"/>
    </row>
    <row r="84" spans="1:6" s="1" customFormat="1" ht="13.5" customHeight="1">
      <c r="A84" s="155" t="s">
        <v>20</v>
      </c>
      <c r="B84" s="155" t="s">
        <v>21</v>
      </c>
      <c r="C84" s="155" t="s">
        <v>10</v>
      </c>
      <c r="D84" s="155" t="s">
        <v>22</v>
      </c>
      <c r="E84" s="155" t="s">
        <v>23</v>
      </c>
      <c r="F84" s="155" t="s">
        <v>61</v>
      </c>
    </row>
    <row r="85" spans="1:6" s="1" customFormat="1" ht="12.75" customHeight="1">
      <c r="A85" s="78" t="s">
        <v>62</v>
      </c>
      <c r="B85" s="156" t="s">
        <v>63</v>
      </c>
      <c r="C85" s="157">
        <v>250</v>
      </c>
      <c r="D85" s="130">
        <v>2</v>
      </c>
      <c r="E85" s="131">
        <f>C85*D85</f>
        <v>500</v>
      </c>
      <c r="F85" s="158"/>
    </row>
    <row r="86" spans="1:6" s="1" customFormat="1" ht="11.25" customHeight="1">
      <c r="A86" s="134"/>
      <c r="B86" s="134"/>
      <c r="D86" s="92" t="s">
        <v>33</v>
      </c>
      <c r="E86" s="150">
        <v>1</v>
      </c>
      <c r="F86" s="158">
        <f>E85</f>
        <v>500</v>
      </c>
    </row>
    <row r="87" spans="1:6" s="1" customFormat="1" ht="11.25" customHeight="1">
      <c r="A87" s="134"/>
      <c r="B87" s="134"/>
      <c r="D87" s="92"/>
      <c r="E87" s="96"/>
      <c r="F87" s="135"/>
    </row>
    <row r="88" spans="1:6" s="1" customFormat="1" ht="11.25" customHeight="1">
      <c r="A88" s="159" t="s">
        <v>64</v>
      </c>
      <c r="B88" s="108"/>
      <c r="C88" s="108"/>
      <c r="D88" s="111"/>
      <c r="E88" s="111"/>
      <c r="F88" s="111"/>
    </row>
    <row r="89" spans="1:6" s="1" customFormat="1" ht="11.25" customHeight="1">
      <c r="A89" s="160" t="s">
        <v>65</v>
      </c>
      <c r="B89" s="108"/>
      <c r="C89" s="108"/>
      <c r="D89" s="111"/>
      <c r="E89" s="111"/>
      <c r="F89" s="111"/>
    </row>
    <row r="90" spans="1:6" s="1" customFormat="1" ht="11.25" customHeight="1">
      <c r="A90" s="112" t="s">
        <v>20</v>
      </c>
      <c r="B90" s="113" t="s">
        <v>21</v>
      </c>
      <c r="C90" s="113" t="s">
        <v>10</v>
      </c>
      <c r="D90" s="114" t="s">
        <v>22</v>
      </c>
      <c r="E90" s="114" t="s">
        <v>23</v>
      </c>
      <c r="F90" s="115" t="s">
        <v>24</v>
      </c>
    </row>
    <row r="91" spans="1:6" s="1" customFormat="1" ht="11.25" customHeight="1">
      <c r="A91" s="161" t="s">
        <v>66</v>
      </c>
      <c r="B91" s="125" t="s">
        <v>45</v>
      </c>
      <c r="C91" s="162">
        <v>1</v>
      </c>
      <c r="D91" s="163">
        <f>'Veículos Equip Solda'!C10+'Veículos Equip Solda'!C16</f>
        <v>186688</v>
      </c>
      <c r="E91" s="164">
        <f>C91*D91</f>
        <v>186688</v>
      </c>
      <c r="F91" s="111"/>
    </row>
    <row r="92" spans="1:6" s="1" customFormat="1" ht="11.25" customHeight="1">
      <c r="A92" s="116" t="s">
        <v>67</v>
      </c>
      <c r="B92" s="117" t="s">
        <v>68</v>
      </c>
      <c r="C92" s="165">
        <v>10</v>
      </c>
      <c r="D92" s="166"/>
      <c r="E92" s="167"/>
      <c r="F92" s="111"/>
    </row>
    <row r="93" spans="1:6" s="1" customFormat="1" ht="11.25" customHeight="1">
      <c r="A93" s="116" t="s">
        <v>69</v>
      </c>
      <c r="B93" s="117"/>
      <c r="C93" s="165">
        <v>5</v>
      </c>
      <c r="D93" s="167"/>
      <c r="E93" s="167"/>
      <c r="F93" s="168"/>
    </row>
    <row r="94" spans="1:6" s="1" customFormat="1" ht="11.25" customHeight="1">
      <c r="A94" s="116" t="s">
        <v>70</v>
      </c>
      <c r="B94" s="117" t="s">
        <v>6</v>
      </c>
      <c r="C94" s="169">
        <f>'5. Depreciação'!B12</f>
        <v>65.18</v>
      </c>
      <c r="D94" s="167">
        <f>E91</f>
        <v>186688</v>
      </c>
      <c r="E94" s="167">
        <f>C94*D94/100</f>
        <v>121683.23840000002</v>
      </c>
      <c r="F94" s="111"/>
    </row>
    <row r="95" spans="1:6" s="1" customFormat="1" ht="11.25" customHeight="1">
      <c r="A95" s="170" t="s">
        <v>71</v>
      </c>
      <c r="B95" s="171" t="s">
        <v>25</v>
      </c>
      <c r="C95" s="172">
        <f>C92*12</f>
        <v>120</v>
      </c>
      <c r="D95" s="173">
        <f>IF(C93&lt;=C92,E94,0)</f>
        <v>121683.23840000002</v>
      </c>
      <c r="E95" s="174">
        <f>_xlfn.IFERROR(D95/C95,0)</f>
        <v>1014.0269866666669</v>
      </c>
      <c r="F95" s="111"/>
    </row>
    <row r="96" spans="1:6" s="1" customFormat="1" ht="11.25" customHeight="1">
      <c r="A96" s="116"/>
      <c r="B96" s="117"/>
      <c r="C96" s="175"/>
      <c r="D96" s="167"/>
      <c r="E96" s="167"/>
      <c r="F96" s="111"/>
    </row>
    <row r="97" spans="1:6" s="1" customFormat="1" ht="11.25" customHeight="1">
      <c r="A97" s="116" t="s">
        <v>72</v>
      </c>
      <c r="B97" s="117" t="s">
        <v>73</v>
      </c>
      <c r="C97" s="176">
        <v>1</v>
      </c>
      <c r="D97" s="177">
        <f>'Veículos Equip. Injeção'!C20</f>
        <v>700</v>
      </c>
      <c r="E97" s="178">
        <f>C97*D97</f>
        <v>700</v>
      </c>
      <c r="F97" s="111"/>
    </row>
    <row r="98" spans="1:6" s="1" customFormat="1" ht="11.25" customHeight="1" hidden="1">
      <c r="A98" s="116"/>
      <c r="B98" s="117"/>
      <c r="C98" s="176"/>
      <c r="D98" s="177"/>
      <c r="E98" s="178"/>
      <c r="F98" s="111"/>
    </row>
    <row r="99" spans="1:6" s="1" customFormat="1" ht="11.25" customHeight="1">
      <c r="A99" s="116"/>
      <c r="B99" s="117"/>
      <c r="C99" s="179"/>
      <c r="D99" s="167"/>
      <c r="E99" s="167"/>
      <c r="F99" s="111"/>
    </row>
    <row r="100" spans="1:6" s="1" customFormat="1" ht="11.25" customHeight="1">
      <c r="A100" s="180" t="s">
        <v>74</v>
      </c>
      <c r="B100" s="181" t="s">
        <v>45</v>
      </c>
      <c r="C100" s="182"/>
      <c r="D100" s="167"/>
      <c r="E100" s="174">
        <f>E95+E97+E98</f>
        <v>1714.0269866666667</v>
      </c>
      <c r="F100" s="111"/>
    </row>
    <row r="101" spans="1:6" s="1" customFormat="1" ht="11.25" customHeight="1">
      <c r="A101" s="183"/>
      <c r="B101" s="183"/>
      <c r="C101" s="183"/>
      <c r="D101" s="184" t="s">
        <v>33</v>
      </c>
      <c r="E101" s="185">
        <v>1</v>
      </c>
      <c r="F101" s="186">
        <f>E100*E101</f>
        <v>1714.0269866666667</v>
      </c>
    </row>
    <row r="102" spans="1:6" s="1" customFormat="1" ht="11.25" customHeight="1">
      <c r="A102" s="134"/>
      <c r="B102" s="134"/>
      <c r="D102" s="92"/>
      <c r="E102" s="96"/>
      <c r="F102" s="135"/>
    </row>
    <row r="103" spans="1:6" s="1" customFormat="1" ht="15.75" customHeight="1">
      <c r="A103" s="187" t="s">
        <v>75</v>
      </c>
      <c r="B103" s="188"/>
      <c r="C103" s="188"/>
      <c r="D103" s="189"/>
      <c r="E103" s="190"/>
      <c r="F103" s="126">
        <f>F67+F81+F86+F101</f>
        <v>8932.322733333334</v>
      </c>
    </row>
    <row r="104" ht="11.25" customHeight="1">
      <c r="G104" s="1"/>
    </row>
    <row r="105" spans="1:6" ht="13.5" customHeight="1">
      <c r="A105" s="67" t="s">
        <v>76</v>
      </c>
      <c r="B105" s="67"/>
      <c r="C105" s="67"/>
      <c r="D105" s="23"/>
      <c r="E105" s="23"/>
      <c r="F105" s="191"/>
    </row>
    <row r="106" spans="1:6" ht="12.75" customHeight="1">
      <c r="A106" s="155" t="s">
        <v>20</v>
      </c>
      <c r="B106" s="192" t="s">
        <v>21</v>
      </c>
      <c r="C106" s="192" t="s">
        <v>10</v>
      </c>
      <c r="D106" s="193" t="s">
        <v>22</v>
      </c>
      <c r="E106" s="193" t="s">
        <v>23</v>
      </c>
      <c r="F106" s="194" t="s">
        <v>24</v>
      </c>
    </row>
    <row r="107" spans="1:6" ht="12.75" customHeight="1">
      <c r="A107" s="195" t="s">
        <v>77</v>
      </c>
      <c r="B107" s="196" t="s">
        <v>6</v>
      </c>
      <c r="C107" s="197">
        <f>'4.BDI'!C18</f>
        <v>0.3014</v>
      </c>
      <c r="D107" s="198">
        <f>F103</f>
        <v>8932.322733333334</v>
      </c>
      <c r="E107" s="198">
        <f>D107*C107</f>
        <v>2692.202071826667</v>
      </c>
      <c r="F107" s="199"/>
    </row>
    <row r="108" spans="1:6" ht="13.5" customHeight="1">
      <c r="A108" s="200"/>
      <c r="B108" s="200"/>
      <c r="C108" s="200"/>
      <c r="D108" s="200"/>
      <c r="E108" s="200"/>
      <c r="F108" s="201"/>
    </row>
    <row r="109" spans="1:6" ht="14.25" customHeight="1">
      <c r="A109" s="202" t="s">
        <v>78</v>
      </c>
      <c r="B109" s="202"/>
      <c r="C109" s="202"/>
      <c r="D109" s="202"/>
      <c r="E109" s="202"/>
      <c r="F109" s="154">
        <f>E107</f>
        <v>2692.202071826667</v>
      </c>
    </row>
    <row r="110" ht="11.25" customHeight="1"/>
    <row r="111" spans="1:6" ht="24.75" customHeight="1">
      <c r="A111" s="203" t="s">
        <v>79</v>
      </c>
      <c r="B111" s="204"/>
      <c r="C111" s="204"/>
      <c r="D111" s="205"/>
      <c r="E111" s="206"/>
      <c r="F111" s="133">
        <f>F67+F81+F109+F86+F101</f>
        <v>11624.52480516</v>
      </c>
    </row>
    <row r="112" spans="1:6" ht="13.5" customHeight="1">
      <c r="A112" s="67"/>
      <c r="B112" s="63"/>
      <c r="C112" s="63"/>
      <c r="F112" s="207"/>
    </row>
    <row r="113" spans="1:6" ht="13.5" customHeight="1">
      <c r="A113" s="208" t="s">
        <v>80</v>
      </c>
      <c r="B113" s="209"/>
      <c r="C113" s="209"/>
      <c r="D113" s="210"/>
      <c r="E113" s="210"/>
      <c r="F113" s="211">
        <v>183.33</v>
      </c>
    </row>
    <row r="114" spans="1:6" ht="13.5" customHeight="1">
      <c r="A114" s="67"/>
      <c r="B114" s="63"/>
      <c r="C114" s="63"/>
      <c r="F114" s="207"/>
    </row>
    <row r="115" spans="1:6" ht="13.5" customHeight="1">
      <c r="A115" s="203" t="s">
        <v>98</v>
      </c>
      <c r="B115" s="204"/>
      <c r="C115" s="204"/>
      <c r="D115" s="205"/>
      <c r="E115" s="206"/>
      <c r="F115" s="133">
        <f>F111/F113</f>
        <v>63.40765180363279</v>
      </c>
    </row>
    <row r="116" spans="1:7" ht="12" customHeight="1">
      <c r="A116" s="212"/>
      <c r="B116" s="212"/>
      <c r="C116" s="212"/>
      <c r="D116" s="213"/>
      <c r="E116" s="213"/>
      <c r="F116" s="213"/>
      <c r="G116" s="214"/>
    </row>
    <row r="117" ht="12.75" customHeight="1">
      <c r="A117" s="24" t="s">
        <v>84</v>
      </c>
    </row>
  </sheetData>
  <sheetProtection selectLockedCells="1" selectUnlockedCells="1"/>
  <mergeCells count="14">
    <mergeCell ref="A1:F1"/>
    <mergeCell ref="A2:F3"/>
    <mergeCell ref="A4:F4"/>
    <mergeCell ref="A6:F6"/>
    <mergeCell ref="A13:C13"/>
    <mergeCell ref="A20:E20"/>
    <mergeCell ref="A21:D21"/>
    <mergeCell ref="A34:F34"/>
    <mergeCell ref="A43:D43"/>
    <mergeCell ref="A52:C52"/>
    <mergeCell ref="A53:D53"/>
    <mergeCell ref="F76:G76"/>
    <mergeCell ref="A78:B78"/>
    <mergeCell ref="A109:E109"/>
  </mergeCells>
  <hyperlinks>
    <hyperlink ref="A89" location="AbaDeprec" display="4.1. Depreciação/manutenção "/>
  </hyperlinks>
  <printOptions horizontalCentered="1"/>
  <pageMargins left="0.5118055555555555" right="0.5118055555555555" top="0.15763888888888888" bottom="0.35486111111111107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4">
      <selection activeCell="A4" sqref="A4"/>
    </sheetView>
  </sheetViews>
  <sheetFormatPr defaultColWidth="8.00390625" defaultRowHeight="12.75"/>
  <cols>
    <col min="1" max="1" width="13.57421875" style="215" customWidth="1"/>
    <col min="2" max="2" width="42.7109375" style="215" customWidth="1"/>
    <col min="3" max="3" width="14.57421875" style="215" customWidth="1"/>
    <col min="4" max="9" width="9.140625" style="215" customWidth="1"/>
    <col min="10" max="10" width="11.00390625" style="215" customWidth="1"/>
    <col min="11" max="16384" width="9.140625" style="215" customWidth="1"/>
  </cols>
  <sheetData>
    <row r="1" ht="12.75">
      <c r="A1" s="24" t="s">
        <v>99</v>
      </c>
    </row>
    <row r="2" ht="12.75">
      <c r="A2" s="216" t="s">
        <v>100</v>
      </c>
    </row>
    <row r="3" ht="13.5"/>
    <row r="4" spans="1:5" ht="18.75">
      <c r="A4" s="217" t="s">
        <v>101</v>
      </c>
      <c r="B4" s="217"/>
      <c r="C4" s="217"/>
      <c r="D4" s="218"/>
      <c r="E4" s="218"/>
    </row>
    <row r="5" spans="1:3" ht="14.25">
      <c r="A5" s="219" t="s">
        <v>102</v>
      </c>
      <c r="B5" s="220" t="s">
        <v>103</v>
      </c>
      <c r="C5" s="221" t="s">
        <v>104</v>
      </c>
    </row>
    <row r="6" spans="1:11" ht="14.25">
      <c r="A6" s="219" t="s">
        <v>105</v>
      </c>
      <c r="B6" s="222" t="s">
        <v>106</v>
      </c>
      <c r="C6" s="223">
        <v>0.2</v>
      </c>
      <c r="E6" s="224"/>
      <c r="F6" s="224"/>
      <c r="G6" s="224"/>
      <c r="H6" s="224"/>
      <c r="I6" s="224"/>
      <c r="J6" s="224"/>
      <c r="K6" s="224"/>
    </row>
    <row r="7" spans="1:11" ht="14.25">
      <c r="A7" s="219" t="s">
        <v>107</v>
      </c>
      <c r="B7" s="222" t="s">
        <v>108</v>
      </c>
      <c r="C7" s="223"/>
      <c r="E7" s="224"/>
      <c r="F7" s="224"/>
      <c r="G7" s="224"/>
      <c r="H7" s="224"/>
      <c r="I7" s="224"/>
      <c r="J7" s="224"/>
      <c r="K7" s="224"/>
    </row>
    <row r="8" spans="1:11" ht="14.25">
      <c r="A8" s="219" t="s">
        <v>109</v>
      </c>
      <c r="B8" s="222" t="s">
        <v>110</v>
      </c>
      <c r="C8" s="223"/>
      <c r="E8" s="224"/>
      <c r="F8" s="224"/>
      <c r="G8" s="224"/>
      <c r="H8" s="224"/>
      <c r="I8" s="224"/>
      <c r="J8" s="224"/>
      <c r="K8" s="224"/>
    </row>
    <row r="9" spans="1:11" ht="14.25">
      <c r="A9" s="219" t="s">
        <v>111</v>
      </c>
      <c r="B9" s="222" t="s">
        <v>112</v>
      </c>
      <c r="C9" s="223"/>
      <c r="E9" s="224"/>
      <c r="F9" s="224"/>
      <c r="G9" s="224"/>
      <c r="H9" s="224"/>
      <c r="I9" s="224"/>
      <c r="J9" s="224"/>
      <c r="K9" s="224"/>
    </row>
    <row r="10" spans="1:11" ht="14.25">
      <c r="A10" s="219" t="s">
        <v>113</v>
      </c>
      <c r="B10" s="222" t="s">
        <v>114</v>
      </c>
      <c r="C10" s="223"/>
      <c r="E10" s="224"/>
      <c r="F10" s="224"/>
      <c r="G10" s="224"/>
      <c r="H10" s="224"/>
      <c r="I10" s="224"/>
      <c r="J10" s="224"/>
      <c r="K10" s="224"/>
    </row>
    <row r="11" spans="1:11" ht="14.25">
      <c r="A11" s="219" t="s">
        <v>115</v>
      </c>
      <c r="B11" s="222" t="s">
        <v>116</v>
      </c>
      <c r="C11" s="223"/>
      <c r="E11" s="224"/>
      <c r="F11" s="224"/>
      <c r="G11" s="224"/>
      <c r="H11" s="224"/>
      <c r="I11" s="224"/>
      <c r="J11" s="224"/>
      <c r="K11" s="224"/>
    </row>
    <row r="12" spans="1:11" ht="14.25">
      <c r="A12" s="219" t="s">
        <v>117</v>
      </c>
      <c r="B12" s="222" t="s">
        <v>118</v>
      </c>
      <c r="C12" s="223">
        <v>0.03</v>
      </c>
      <c r="E12" s="224"/>
      <c r="F12" s="224"/>
      <c r="G12" s="224"/>
      <c r="H12" s="224"/>
      <c r="I12" s="224"/>
      <c r="J12" s="224"/>
      <c r="K12" s="224"/>
    </row>
    <row r="13" spans="1:11" ht="14.25">
      <c r="A13" s="219" t="s">
        <v>119</v>
      </c>
      <c r="B13" s="222" t="s">
        <v>120</v>
      </c>
      <c r="C13" s="223">
        <v>0.08</v>
      </c>
      <c r="E13" s="224"/>
      <c r="F13" s="224"/>
      <c r="G13" s="224"/>
      <c r="H13" s="224"/>
      <c r="I13" s="224"/>
      <c r="J13" s="224"/>
      <c r="K13" s="224"/>
    </row>
    <row r="14" spans="1:11" ht="15">
      <c r="A14" s="219" t="s">
        <v>121</v>
      </c>
      <c r="B14" s="225" t="s">
        <v>122</v>
      </c>
      <c r="C14" s="226">
        <f>SUM(C6:C13)</f>
        <v>0.31</v>
      </c>
      <c r="E14" s="224"/>
      <c r="F14" s="224"/>
      <c r="G14" s="224"/>
      <c r="H14" s="224"/>
      <c r="I14" s="224"/>
      <c r="J14" s="224"/>
      <c r="K14" s="224"/>
    </row>
    <row r="15" spans="1:11" ht="15">
      <c r="A15" s="227"/>
      <c r="B15" s="228"/>
      <c r="C15" s="229"/>
      <c r="E15" s="224"/>
      <c r="F15" s="224"/>
      <c r="G15" s="224"/>
      <c r="H15" s="224"/>
      <c r="I15" s="224"/>
      <c r="J15" s="224"/>
      <c r="K15" s="224"/>
    </row>
    <row r="16" spans="1:11" ht="14.25">
      <c r="A16" s="219" t="s">
        <v>123</v>
      </c>
      <c r="B16" s="222" t="s">
        <v>124</v>
      </c>
      <c r="C16" s="223">
        <f>ROUND(IF('3.CAGED'!C39&gt;24,(1-12/'3.CAGED'!C39)*0.1111,0.1111-C25),4)</f>
        <v>0.0605</v>
      </c>
      <c r="E16" s="224"/>
      <c r="F16" s="224"/>
      <c r="G16" s="224"/>
      <c r="H16" s="224"/>
      <c r="I16" s="224"/>
      <c r="J16" s="224"/>
      <c r="K16" s="224"/>
    </row>
    <row r="17" spans="1:11" ht="14.25">
      <c r="A17" s="219" t="s">
        <v>125</v>
      </c>
      <c r="B17" s="222" t="s">
        <v>126</v>
      </c>
      <c r="C17" s="223">
        <f>ROUND('3.CAGED'!C33/'3.CAGED'!C30,4)</f>
        <v>0.0833</v>
      </c>
      <c r="E17" s="224"/>
      <c r="F17" s="224"/>
      <c r="G17" s="224"/>
      <c r="H17" s="224"/>
      <c r="I17" s="224"/>
      <c r="J17" s="224"/>
      <c r="K17" s="224"/>
    </row>
    <row r="18" spans="1:11" ht="14.25">
      <c r="A18" s="219" t="s">
        <v>127</v>
      </c>
      <c r="B18" s="222" t="s">
        <v>128</v>
      </c>
      <c r="C18" s="223">
        <v>0.0006000000000000001</v>
      </c>
      <c r="E18" s="224"/>
      <c r="F18" s="224"/>
      <c r="G18" s="224"/>
      <c r="H18" s="224"/>
      <c r="I18" s="224"/>
      <c r="J18" s="224"/>
      <c r="K18" s="224"/>
    </row>
    <row r="19" spans="1:11" ht="14.25">
      <c r="A19" s="219" t="s">
        <v>129</v>
      </c>
      <c r="B19" s="222" t="s">
        <v>130</v>
      </c>
      <c r="C19" s="223">
        <v>0.0082</v>
      </c>
      <c r="E19" s="224"/>
      <c r="F19" s="224"/>
      <c r="G19" s="224"/>
      <c r="H19" s="224"/>
      <c r="I19" s="224"/>
      <c r="J19" s="224"/>
      <c r="K19" s="224"/>
    </row>
    <row r="20" spans="1:11" ht="15" customHeight="1">
      <c r="A20" s="219" t="s">
        <v>131</v>
      </c>
      <c r="B20" s="222" t="s">
        <v>132</v>
      </c>
      <c r="C20" s="223">
        <v>0.0031000000000000003</v>
      </c>
      <c r="E20" s="224"/>
      <c r="F20" s="224"/>
      <c r="G20" s="224"/>
      <c r="H20" s="224"/>
      <c r="I20" s="224"/>
      <c r="J20" s="224"/>
      <c r="K20" s="224"/>
    </row>
    <row r="21" spans="1:11" ht="14.25">
      <c r="A21" s="219" t="s">
        <v>133</v>
      </c>
      <c r="B21" s="222" t="s">
        <v>134</v>
      </c>
      <c r="C21" s="223">
        <v>0.0166</v>
      </c>
      <c r="E21" s="224"/>
      <c r="F21" s="224"/>
      <c r="G21" s="224"/>
      <c r="H21" s="224"/>
      <c r="I21" s="224"/>
      <c r="J21" s="224"/>
      <c r="K21" s="224"/>
    </row>
    <row r="22" spans="1:11" ht="15">
      <c r="A22" s="219" t="s">
        <v>135</v>
      </c>
      <c r="B22" s="225" t="s">
        <v>136</v>
      </c>
      <c r="C22" s="226">
        <f>SUM(C16:C21)</f>
        <v>0.1723</v>
      </c>
      <c r="E22" s="224"/>
      <c r="F22" s="224"/>
      <c r="G22" s="224"/>
      <c r="H22" s="224"/>
      <c r="I22" s="224"/>
      <c r="J22" s="224"/>
      <c r="K22" s="224"/>
    </row>
    <row r="23" spans="1:11" ht="15">
      <c r="A23" s="227"/>
      <c r="B23" s="228"/>
      <c r="C23" s="229"/>
      <c r="E23" s="224"/>
      <c r="F23" s="224"/>
      <c r="G23" s="224"/>
      <c r="H23" s="224"/>
      <c r="I23" s="224"/>
      <c r="J23" s="224"/>
      <c r="K23" s="224"/>
    </row>
    <row r="24" spans="1:11" ht="14.25">
      <c r="A24" s="219" t="s">
        <v>137</v>
      </c>
      <c r="B24" s="222" t="s">
        <v>138</v>
      </c>
      <c r="C24" s="223">
        <v>0.038</v>
      </c>
      <c r="D24" s="230"/>
      <c r="E24" s="224"/>
      <c r="F24" s="224"/>
      <c r="G24" s="224"/>
      <c r="H24" s="224"/>
      <c r="I24" s="224"/>
      <c r="J24" s="224"/>
      <c r="K24" s="224"/>
    </row>
    <row r="25" spans="1:11" ht="14.25">
      <c r="A25" s="219" t="s">
        <v>139</v>
      </c>
      <c r="B25" s="222" t="s">
        <v>140</v>
      </c>
      <c r="C25" s="223">
        <v>0.0506</v>
      </c>
      <c r="E25" s="224"/>
      <c r="F25" s="224"/>
      <c r="G25" s="231"/>
      <c r="H25" s="224"/>
      <c r="I25" s="224"/>
      <c r="J25" s="224"/>
      <c r="K25" s="224"/>
    </row>
    <row r="26" spans="1:11" ht="14.25">
      <c r="A26" s="219" t="s">
        <v>141</v>
      </c>
      <c r="B26" s="222" t="s">
        <v>142</v>
      </c>
      <c r="C26" s="223">
        <v>0.004200000000000001</v>
      </c>
      <c r="E26" s="224"/>
      <c r="F26" s="224"/>
      <c r="G26" s="224"/>
      <c r="H26" s="224"/>
      <c r="I26" s="224"/>
      <c r="J26" s="224"/>
      <c r="K26" s="224"/>
    </row>
    <row r="27" spans="1:11" ht="14.25">
      <c r="A27" s="219" t="s">
        <v>143</v>
      </c>
      <c r="B27" s="222" t="s">
        <v>144</v>
      </c>
      <c r="C27" s="223">
        <v>0.0371</v>
      </c>
      <c r="E27" s="224"/>
      <c r="F27" s="232"/>
      <c r="G27" s="224"/>
      <c r="H27" s="224"/>
      <c r="I27" s="224"/>
      <c r="J27" s="224"/>
      <c r="K27" s="224"/>
    </row>
    <row r="28" spans="1:11" ht="14.25">
      <c r="A28" s="219" t="s">
        <v>145</v>
      </c>
      <c r="B28" s="222" t="s">
        <v>146</v>
      </c>
      <c r="C28" s="223">
        <v>0.0026000000000000003</v>
      </c>
      <c r="E28" s="224"/>
      <c r="F28" s="224"/>
      <c r="G28" s="224"/>
      <c r="H28" s="224"/>
      <c r="I28" s="224"/>
      <c r="J28" s="224"/>
      <c r="K28" s="224"/>
    </row>
    <row r="29" spans="1:11" ht="15">
      <c r="A29" s="219" t="s">
        <v>147</v>
      </c>
      <c r="B29" s="225" t="s">
        <v>148</v>
      </c>
      <c r="C29" s="226">
        <f>SUM(C24:C28)</f>
        <v>0.1325</v>
      </c>
      <c r="E29" s="224"/>
      <c r="F29" s="224"/>
      <c r="G29" s="224"/>
      <c r="H29" s="224"/>
      <c r="I29" s="224"/>
      <c r="J29" s="224"/>
      <c r="K29" s="224"/>
    </row>
    <row r="30" spans="1:11" ht="15">
      <c r="A30" s="227"/>
      <c r="B30" s="228"/>
      <c r="C30" s="229"/>
      <c r="E30" s="224"/>
      <c r="F30" s="224"/>
      <c r="G30" s="224"/>
      <c r="H30" s="224"/>
      <c r="I30" s="224"/>
      <c r="J30" s="224"/>
      <c r="K30" s="224"/>
    </row>
    <row r="31" spans="1:11" ht="14.25">
      <c r="A31" s="219" t="s">
        <v>149</v>
      </c>
      <c r="B31" s="222" t="s">
        <v>150</v>
      </c>
      <c r="C31" s="223">
        <f>ROUND(C14*C22,4)</f>
        <v>0.0534</v>
      </c>
      <c r="E31" s="224"/>
      <c r="F31" s="224"/>
      <c r="G31" s="224"/>
      <c r="H31" s="224"/>
      <c r="I31" s="224"/>
      <c r="J31" s="224"/>
      <c r="K31" s="224"/>
    </row>
    <row r="32" spans="1:11" ht="28.5">
      <c r="A32" s="219" t="s">
        <v>151</v>
      </c>
      <c r="B32" s="233" t="s">
        <v>152</v>
      </c>
      <c r="C32" s="223">
        <f>ROUND((C24*C14),4)</f>
        <v>0.0118</v>
      </c>
      <c r="E32" s="224"/>
      <c r="F32" s="224"/>
      <c r="G32" s="224"/>
      <c r="H32" s="224"/>
      <c r="I32" s="224"/>
      <c r="J32" s="224"/>
      <c r="K32" s="224"/>
    </row>
    <row r="33" spans="1:11" ht="15">
      <c r="A33" s="219" t="s">
        <v>153</v>
      </c>
      <c r="B33" s="234" t="s">
        <v>154</v>
      </c>
      <c r="C33" s="235">
        <f>SUM(C31:C32)</f>
        <v>0.06520000000000001</v>
      </c>
      <c r="E33" s="224"/>
      <c r="F33" s="224"/>
      <c r="G33" s="224"/>
      <c r="H33" s="224"/>
      <c r="I33" s="224"/>
      <c r="J33" s="224"/>
      <c r="K33" s="224"/>
    </row>
    <row r="34" spans="1:11" ht="15.75">
      <c r="A34" s="236"/>
      <c r="B34" s="237" t="s">
        <v>155</v>
      </c>
      <c r="C34" s="238">
        <f>C33+C29+C22+C14</f>
        <v>0.6799999999999999</v>
      </c>
      <c r="E34" s="224"/>
      <c r="F34" s="224"/>
      <c r="G34" s="224"/>
      <c r="H34" s="224"/>
      <c r="I34" s="224"/>
      <c r="J34" s="224"/>
      <c r="K34" s="224"/>
    </row>
    <row r="35" ht="13.5"/>
  </sheetData>
  <sheetProtection selectLockedCells="1" selectUnlockedCells="1"/>
  <mergeCells count="1">
    <mergeCell ref="A4:C4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4">
      <selection activeCell="B11" sqref="B11"/>
    </sheetView>
  </sheetViews>
  <sheetFormatPr defaultColWidth="8.00390625" defaultRowHeight="12.75"/>
  <cols>
    <col min="1" max="1" width="8.57421875" style="215" customWidth="1"/>
    <col min="2" max="2" width="67.140625" style="215" customWidth="1"/>
    <col min="3" max="3" width="13.7109375" style="215" customWidth="1"/>
    <col min="4" max="4" width="10.28125" style="215" hidden="1" customWidth="1"/>
    <col min="5" max="5" width="13.7109375" style="215" hidden="1" customWidth="1"/>
    <col min="6" max="6" width="14.421875" style="215" hidden="1" customWidth="1"/>
    <col min="7" max="7" width="12.7109375" style="215" hidden="1" customWidth="1"/>
    <col min="8" max="8" width="4.421875" style="215" hidden="1" customWidth="1"/>
    <col min="9" max="9" width="6.8515625" style="215" hidden="1" customWidth="1"/>
    <col min="10" max="10" width="3.28125" style="215" hidden="1" customWidth="1"/>
    <col min="11" max="11" width="9.00390625" style="215" hidden="1" customWidth="1"/>
    <col min="12" max="16384" width="9.140625" style="215" customWidth="1"/>
  </cols>
  <sheetData>
    <row r="1" ht="12.75">
      <c r="A1" s="239" t="s">
        <v>156</v>
      </c>
    </row>
    <row r="3" ht="12.75">
      <c r="A3" s="215" t="s">
        <v>157</v>
      </c>
    </row>
    <row r="4" ht="12.75">
      <c r="A4" s="215" t="s">
        <v>158</v>
      </c>
    </row>
    <row r="5" spans="1:3" ht="25.5" customHeight="1">
      <c r="A5" s="240" t="s">
        <v>159</v>
      </c>
      <c r="B5" s="240"/>
      <c r="C5" s="240"/>
    </row>
    <row r="6" ht="12.75">
      <c r="A6" s="215" t="s">
        <v>160</v>
      </c>
    </row>
    <row r="7" spans="1:3" ht="26.25" customHeight="1">
      <c r="A7" s="240" t="s">
        <v>161</v>
      </c>
      <c r="B7" s="240"/>
      <c r="C7" s="240"/>
    </row>
    <row r="8" ht="12.75">
      <c r="A8" s="215" t="s">
        <v>162</v>
      </c>
    </row>
    <row r="9" ht="12.75">
      <c r="A9" s="215" t="s">
        <v>163</v>
      </c>
    </row>
    <row r="10" ht="13.5"/>
    <row r="11" spans="2:3" ht="18.75">
      <c r="B11" s="241" t="s">
        <v>164</v>
      </c>
      <c r="C11" s="241"/>
    </row>
    <row r="12" spans="1:3" ht="12.75">
      <c r="A12" s="224"/>
      <c r="B12" s="242" t="s">
        <v>165</v>
      </c>
      <c r="C12" s="242"/>
    </row>
    <row r="13" spans="1:3" ht="15">
      <c r="A13" s="224"/>
      <c r="B13" s="243" t="s">
        <v>166</v>
      </c>
      <c r="C13" s="244">
        <v>9343</v>
      </c>
    </row>
    <row r="14" spans="1:3" ht="15">
      <c r="A14" s="224"/>
      <c r="B14" s="245" t="s">
        <v>167</v>
      </c>
      <c r="C14" s="244">
        <v>6967</v>
      </c>
    </row>
    <row r="15" spans="1:3" ht="14.25">
      <c r="A15" s="224"/>
      <c r="B15" s="246" t="s">
        <v>168</v>
      </c>
      <c r="C15" s="247">
        <v>156</v>
      </c>
    </row>
    <row r="16" spans="1:3" ht="14.25">
      <c r="A16" s="224"/>
      <c r="B16" s="246" t="s">
        <v>169</v>
      </c>
      <c r="C16" s="247">
        <v>3467</v>
      </c>
    </row>
    <row r="17" spans="1:3" ht="14.25">
      <c r="A17" s="224"/>
      <c r="B17" s="246" t="s">
        <v>170</v>
      </c>
      <c r="C17" s="247">
        <v>1601</v>
      </c>
    </row>
    <row r="18" spans="1:3" ht="14.25">
      <c r="A18" s="224"/>
      <c r="B18" s="246" t="s">
        <v>171</v>
      </c>
      <c r="C18" s="247">
        <v>33</v>
      </c>
    </row>
    <row r="19" spans="1:3" ht="14.25">
      <c r="A19" s="224"/>
      <c r="B19" s="246" t="s">
        <v>172</v>
      </c>
      <c r="C19" s="247">
        <v>1676</v>
      </c>
    </row>
    <row r="20" spans="1:3" ht="14.25">
      <c r="A20" s="224"/>
      <c r="B20" s="246" t="s">
        <v>173</v>
      </c>
      <c r="C20" s="247">
        <v>2</v>
      </c>
    </row>
    <row r="21" spans="1:3" ht="14.25">
      <c r="A21" s="224"/>
      <c r="B21" s="246" t="s">
        <v>174</v>
      </c>
      <c r="C21" s="247">
        <v>23</v>
      </c>
    </row>
    <row r="22" spans="1:3" ht="14.25">
      <c r="A22" s="224"/>
      <c r="B22" s="248" t="s">
        <v>175</v>
      </c>
      <c r="C22" s="249">
        <v>0</v>
      </c>
    </row>
    <row r="23" spans="1:3" ht="15">
      <c r="A23" s="224" t="s">
        <v>176</v>
      </c>
      <c r="B23" s="250" t="s">
        <v>177</v>
      </c>
      <c r="C23" s="251"/>
    </row>
    <row r="24" spans="1:3" ht="14.25">
      <c r="A24" s="224"/>
      <c r="B24" s="252" t="s">
        <v>178</v>
      </c>
      <c r="C24" s="253">
        <v>14087</v>
      </c>
    </row>
    <row r="25" spans="1:3" ht="14.25">
      <c r="A25" s="224"/>
      <c r="B25" s="246" t="s">
        <v>179</v>
      </c>
      <c r="C25" s="247">
        <v>16463</v>
      </c>
    </row>
    <row r="26" spans="2:3" ht="14.25">
      <c r="B26" s="246" t="s">
        <v>180</v>
      </c>
      <c r="C26" s="247">
        <v>2376</v>
      </c>
    </row>
    <row r="27" spans="2:3" ht="14.25">
      <c r="B27" s="254"/>
      <c r="C27" s="255"/>
    </row>
    <row r="28" spans="2:7" ht="15">
      <c r="B28" s="256" t="s">
        <v>181</v>
      </c>
      <c r="C28" s="257">
        <f>MEDIAN(C13,C14)/MEDIAN(C24,C25)</f>
        <v>0.5338788870703765</v>
      </c>
      <c r="G28" s="215">
        <f>12/C28</f>
        <v>22.477007970570202</v>
      </c>
    </row>
    <row r="29" spans="2:3" ht="15">
      <c r="B29" s="243" t="s">
        <v>182</v>
      </c>
      <c r="C29" s="257">
        <f>C16/MEDIAN(C24,C25)</f>
        <v>0.2269721767594108</v>
      </c>
    </row>
    <row r="30" spans="2:3" ht="15">
      <c r="B30" s="258" t="s">
        <v>183</v>
      </c>
      <c r="C30" s="259">
        <v>360</v>
      </c>
    </row>
    <row r="31" spans="2:3" ht="15">
      <c r="B31" s="243" t="s">
        <v>184</v>
      </c>
      <c r="C31" s="259">
        <v>10</v>
      </c>
    </row>
    <row r="32" spans="2:7" ht="15">
      <c r="B32" s="243" t="s">
        <v>185</v>
      </c>
      <c r="C32" s="259">
        <v>30</v>
      </c>
      <c r="G32" s="215">
        <f>TRUNC(G37)</f>
        <v>10</v>
      </c>
    </row>
    <row r="33" spans="2:3" ht="15">
      <c r="B33" s="243" t="s">
        <v>186</v>
      </c>
      <c r="C33" s="259">
        <v>30</v>
      </c>
    </row>
    <row r="34" spans="2:3" s="239" customFormat="1" ht="15">
      <c r="B34" s="243" t="s">
        <v>187</v>
      </c>
      <c r="C34" s="260">
        <f>MEDIAN(C24,C25)</f>
        <v>15275</v>
      </c>
    </row>
    <row r="35" spans="2:11" s="239" customFormat="1" ht="15">
      <c r="B35" s="243" t="s">
        <v>120</v>
      </c>
      <c r="C35" s="261">
        <v>0.08</v>
      </c>
      <c r="K35" s="239">
        <f>IF(C39&gt;12,C39-12,C39)</f>
        <v>10.477007970570202</v>
      </c>
    </row>
    <row r="36" spans="2:11" s="239" customFormat="1" ht="15">
      <c r="B36" s="243" t="s">
        <v>188</v>
      </c>
      <c r="C36" s="261">
        <v>0.5</v>
      </c>
      <c r="K36" s="239" t="e">
        <f aca="true" t="shared" si="0" ref="K36:K39">NA()</f>
        <v>#N/A</v>
      </c>
    </row>
    <row r="37" spans="2:11" s="239" customFormat="1" ht="15">
      <c r="B37" s="243" t="s">
        <v>189</v>
      </c>
      <c r="C37" s="262">
        <f>((1/C28)-TRUNC(E37))</f>
        <v>0.8730839975475169</v>
      </c>
      <c r="D37" s="239">
        <f>TRUNC(E37)</f>
        <v>1</v>
      </c>
      <c r="E37" s="239">
        <f>1/C28</f>
        <v>1.8730839975475169</v>
      </c>
      <c r="F37" s="239">
        <f>((1/C28)-TRUNC(E37))</f>
        <v>0.8730839975475169</v>
      </c>
      <c r="G37" s="239">
        <f>12*F37</f>
        <v>10.477007970570202</v>
      </c>
      <c r="K37" s="239" t="e">
        <f t="shared" si="0"/>
        <v>#N/A</v>
      </c>
    </row>
    <row r="38" spans="2:11" s="239" customFormat="1" ht="15">
      <c r="B38" s="250" t="s">
        <v>190</v>
      </c>
      <c r="C38" s="263">
        <f>30+D38</f>
        <v>33</v>
      </c>
      <c r="D38" s="239">
        <f>3*D37</f>
        <v>3</v>
      </c>
      <c r="G38" s="239">
        <f>G37/12*40/360</f>
        <v>0.0970093330608352</v>
      </c>
      <c r="K38" s="239" t="e">
        <f t="shared" si="0"/>
        <v>#N/A</v>
      </c>
    </row>
    <row r="39" spans="2:11" s="239" customFormat="1" ht="15.75">
      <c r="B39" s="264" t="s">
        <v>191</v>
      </c>
      <c r="C39" s="265">
        <f>12/C28</f>
        <v>22.477007970570202</v>
      </c>
      <c r="K39" s="239" t="e">
        <f t="shared" si="0"/>
        <v>#N/A</v>
      </c>
    </row>
    <row r="40" ht="13.5">
      <c r="K40" s="215" t="e">
        <f aca="true" t="shared" si="1" ref="K40:K41">IF(K39&gt;12,K39-12,K39)</f>
        <v>#N/A</v>
      </c>
    </row>
    <row r="41" ht="12.75">
      <c r="K41" s="215" t="e">
        <f t="shared" si="1"/>
        <v>#N/A</v>
      </c>
    </row>
  </sheetData>
  <sheetProtection selectLockedCells="1" selectUnlockedCells="1"/>
  <mergeCells count="4">
    <mergeCell ref="A5:C5"/>
    <mergeCell ref="A7:C7"/>
    <mergeCell ref="B11:C11"/>
    <mergeCell ref="B12:C12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28"/>
  <sheetViews>
    <sheetView workbookViewId="0" topLeftCell="A1">
      <selection activeCell="A6" sqref="A6"/>
    </sheetView>
  </sheetViews>
  <sheetFormatPr defaultColWidth="8.00390625" defaultRowHeight="12.75"/>
  <cols>
    <col min="1" max="1" width="41.8515625" style="266" customWidth="1"/>
    <col min="2" max="2" width="5.57421875" style="266" customWidth="1"/>
    <col min="3" max="3" width="9.00390625" style="266" customWidth="1"/>
    <col min="4" max="4" width="9.7109375" style="266" customWidth="1"/>
    <col min="5" max="5" width="8.00390625" style="267" customWidth="1"/>
    <col min="6" max="6" width="9.7109375" style="266" customWidth="1"/>
    <col min="7" max="16384" width="9.00390625" style="266" customWidth="1"/>
  </cols>
  <sheetData>
    <row r="1" spans="1:5" s="269" customFormat="1" ht="14.25">
      <c r="A1" s="24" t="s">
        <v>99</v>
      </c>
      <c r="B1" s="268"/>
      <c r="C1" s="268"/>
      <c r="E1" s="270"/>
    </row>
    <row r="2" spans="1:5" s="269" customFormat="1" ht="14.25">
      <c r="A2" s="216" t="s">
        <v>192</v>
      </c>
      <c r="B2" s="268"/>
      <c r="C2" s="268"/>
      <c r="E2" s="270"/>
    </row>
    <row r="3" spans="1:5" s="269" customFormat="1" ht="14.25">
      <c r="A3" s="1" t="s">
        <v>193</v>
      </c>
      <c r="B3" s="268"/>
      <c r="C3" s="268"/>
      <c r="E3" s="270"/>
    </row>
    <row r="4" spans="1:5" s="269" customFormat="1" ht="14.25">
      <c r="A4" s="216"/>
      <c r="B4" s="268"/>
      <c r="C4" s="268"/>
      <c r="E4" s="270"/>
    </row>
    <row r="5" spans="2:5" s="269" customFormat="1" ht="15">
      <c r="B5" s="268"/>
      <c r="C5" s="268"/>
      <c r="E5" s="270"/>
    </row>
    <row r="6" spans="1:6" ht="16.5">
      <c r="A6" s="271" t="s">
        <v>194</v>
      </c>
      <c r="B6" s="271"/>
      <c r="C6" s="271"/>
      <c r="D6" s="271"/>
      <c r="E6" s="271"/>
      <c r="F6" s="271"/>
    </row>
    <row r="7" spans="1:6" ht="16.5">
      <c r="A7" s="272"/>
      <c r="B7" s="273"/>
      <c r="C7" s="273"/>
      <c r="D7" s="273"/>
      <c r="E7" s="273"/>
      <c r="F7" s="274"/>
    </row>
    <row r="8" spans="1:8" ht="15.75">
      <c r="A8" s="275"/>
      <c r="B8" s="276"/>
      <c r="C8" s="276"/>
      <c r="D8" s="277" t="s">
        <v>195</v>
      </c>
      <c r="E8" s="277"/>
      <c r="F8" s="277"/>
      <c r="G8" s="269"/>
      <c r="H8" s="269"/>
    </row>
    <row r="9" spans="1:8" ht="15">
      <c r="A9" s="254"/>
      <c r="B9" s="278"/>
      <c r="C9" s="278"/>
      <c r="D9" s="279" t="s">
        <v>196</v>
      </c>
      <c r="E9" s="280" t="s">
        <v>197</v>
      </c>
      <c r="F9" s="281" t="s">
        <v>198</v>
      </c>
      <c r="G9" s="269"/>
      <c r="H9" s="269"/>
    </row>
    <row r="10" spans="1:8" ht="15">
      <c r="A10" s="282" t="s">
        <v>199</v>
      </c>
      <c r="B10" s="283" t="s">
        <v>200</v>
      </c>
      <c r="C10" s="284">
        <v>0.06</v>
      </c>
      <c r="D10" s="285">
        <v>0.0297</v>
      </c>
      <c r="E10" s="286">
        <v>0.050800000000000005</v>
      </c>
      <c r="F10" s="287">
        <v>0.0627</v>
      </c>
      <c r="G10" s="269"/>
      <c r="H10" s="269"/>
    </row>
    <row r="11" spans="1:8" ht="14.25">
      <c r="A11" s="288" t="s">
        <v>201</v>
      </c>
      <c r="B11" s="289" t="s">
        <v>202</v>
      </c>
      <c r="C11" s="290">
        <v>0.0133</v>
      </c>
      <c r="D11" s="285">
        <v>0.0086</v>
      </c>
      <c r="E11" s="286">
        <f>0.0048+0.0085</f>
        <v>0.013300000000000001</v>
      </c>
      <c r="F11" s="287">
        <f>0.82%+0.89%</f>
        <v>0.017099999999999997</v>
      </c>
      <c r="G11" s="269"/>
      <c r="H11" s="269"/>
    </row>
    <row r="12" spans="1:8" ht="14.25">
      <c r="A12" s="288" t="s">
        <v>203</v>
      </c>
      <c r="B12" s="289" t="s">
        <v>204</v>
      </c>
      <c r="C12" s="290">
        <v>0.13</v>
      </c>
      <c r="D12" s="285">
        <v>0.05</v>
      </c>
      <c r="E12" s="286">
        <v>0.1008</v>
      </c>
      <c r="F12" s="287">
        <v>0.1355</v>
      </c>
      <c r="G12" s="269"/>
      <c r="H12" s="269"/>
    </row>
    <row r="13" spans="1:8" ht="14.25">
      <c r="A13" s="288" t="s">
        <v>205</v>
      </c>
      <c r="B13" s="289" t="s">
        <v>206</v>
      </c>
      <c r="C13" s="290">
        <f>E13/12</f>
        <v>0.0016666666666666668</v>
      </c>
      <c r="D13" s="285" t="s">
        <v>207</v>
      </c>
      <c r="E13" s="291">
        <v>0.02</v>
      </c>
      <c r="F13" s="292"/>
      <c r="G13" s="269"/>
      <c r="H13" s="269"/>
    </row>
    <row r="14" spans="1:8" ht="15">
      <c r="A14" s="288" t="s">
        <v>208</v>
      </c>
      <c r="B14" s="293" t="s">
        <v>209</v>
      </c>
      <c r="C14" s="290">
        <v>0.03</v>
      </c>
      <c r="D14" s="294" t="s">
        <v>210</v>
      </c>
      <c r="E14" s="295">
        <v>0.02</v>
      </c>
      <c r="F14" s="296"/>
      <c r="G14" s="269"/>
      <c r="H14" s="269"/>
    </row>
    <row r="15" spans="1:8" ht="15.75">
      <c r="A15" s="297" t="s">
        <v>211</v>
      </c>
      <c r="B15" s="293"/>
      <c r="C15" s="298">
        <v>0.036500000000000005</v>
      </c>
      <c r="D15" s="246"/>
      <c r="E15" s="299">
        <v>0.036500000000000005</v>
      </c>
      <c r="F15" s="296"/>
      <c r="G15" s="269"/>
      <c r="H15" s="269"/>
    </row>
    <row r="16" spans="1:8" ht="15">
      <c r="A16" s="300" t="s">
        <v>212</v>
      </c>
      <c r="B16" s="301"/>
      <c r="C16" s="302"/>
      <c r="D16" s="246"/>
      <c r="E16" s="303"/>
      <c r="F16" s="296"/>
      <c r="G16" s="269"/>
      <c r="H16" s="269"/>
    </row>
    <row r="17" spans="1:8" ht="15">
      <c r="A17" s="304" t="s">
        <v>213</v>
      </c>
      <c r="B17" s="305"/>
      <c r="C17" s="306"/>
      <c r="D17" s="246"/>
      <c r="E17" s="303"/>
      <c r="F17" s="296"/>
      <c r="G17" s="269"/>
      <c r="H17" s="269"/>
    </row>
    <row r="18" spans="1:8" ht="16.5">
      <c r="A18" s="307" t="s">
        <v>214</v>
      </c>
      <c r="B18" s="308"/>
      <c r="C18" s="309">
        <f>ROUND((((1+C10+C11)*(1+C12)*(1+C13))/(1-(C14+C15))-1),4)</f>
        <v>0.3014</v>
      </c>
      <c r="D18" s="310"/>
      <c r="E18" s="311"/>
      <c r="F18" s="312"/>
      <c r="G18" s="269"/>
      <c r="H18" s="269"/>
    </row>
    <row r="19" spans="1:8" ht="15">
      <c r="A19" s="269"/>
      <c r="B19" s="269"/>
      <c r="C19" s="269"/>
      <c r="D19" s="269"/>
      <c r="E19" s="270"/>
      <c r="F19" s="269"/>
      <c r="G19" s="269"/>
      <c r="H19" s="269"/>
    </row>
    <row r="20" spans="1:8" ht="14.25">
      <c r="A20" s="313" t="s">
        <v>215</v>
      </c>
      <c r="B20" s="313"/>
      <c r="C20" s="313"/>
      <c r="D20" s="313"/>
      <c r="E20" s="313"/>
      <c r="F20" s="313"/>
      <c r="G20" s="269"/>
      <c r="H20" s="269"/>
    </row>
    <row r="21" spans="1:8" ht="14.25">
      <c r="A21" s="313" t="s">
        <v>216</v>
      </c>
      <c r="B21" s="313"/>
      <c r="C21" s="313"/>
      <c r="D21" s="313"/>
      <c r="E21" s="313"/>
      <c r="F21" s="313"/>
      <c r="G21" s="269"/>
      <c r="H21" s="269"/>
    </row>
    <row r="22" spans="1:8" ht="14.25">
      <c r="A22" s="313" t="s">
        <v>217</v>
      </c>
      <c r="B22" s="313"/>
      <c r="C22" s="313"/>
      <c r="D22" s="313"/>
      <c r="E22" s="313"/>
      <c r="F22" s="313"/>
      <c r="G22" s="269"/>
      <c r="H22" s="269"/>
    </row>
    <row r="23" spans="1:6" ht="14.25">
      <c r="A23" s="313" t="s">
        <v>218</v>
      </c>
      <c r="B23" s="313"/>
      <c r="C23" s="313"/>
      <c r="D23" s="313"/>
      <c r="E23" s="313"/>
      <c r="F23" s="313"/>
    </row>
    <row r="24" spans="1:6" ht="14.25">
      <c r="A24" s="313" t="s">
        <v>219</v>
      </c>
      <c r="B24" s="313"/>
      <c r="C24" s="313"/>
      <c r="D24" s="313"/>
      <c r="E24" s="313"/>
      <c r="F24" s="313"/>
    </row>
    <row r="25" spans="1:6" ht="14.25">
      <c r="A25" s="313" t="s">
        <v>220</v>
      </c>
      <c r="B25" s="313"/>
      <c r="C25" s="313"/>
      <c r="D25" s="313"/>
      <c r="E25" s="313"/>
      <c r="F25" s="313"/>
    </row>
    <row r="26" spans="1:6" ht="14.25">
      <c r="A26" s="313" t="s">
        <v>221</v>
      </c>
      <c r="B26" s="313"/>
      <c r="C26" s="313"/>
      <c r="D26" s="313"/>
      <c r="E26" s="313"/>
      <c r="F26" s="313"/>
    </row>
    <row r="27" spans="1:6" ht="14.25">
      <c r="A27" s="314"/>
      <c r="B27" s="314"/>
      <c r="C27" s="314"/>
      <c r="D27" s="314"/>
      <c r="E27" s="314"/>
      <c r="F27" s="314"/>
    </row>
    <row r="28" ht="12.75">
      <c r="A28" s="266" t="s">
        <v>222</v>
      </c>
    </row>
  </sheetData>
  <sheetProtection selectLockedCells="1" selectUnlockedCells="1"/>
  <mergeCells count="11">
    <mergeCell ref="A6:F6"/>
    <mergeCell ref="D8:F8"/>
    <mergeCell ref="B14:B15"/>
    <mergeCell ref="A20:F20"/>
    <mergeCell ref="A21:F21"/>
    <mergeCell ref="A22:F22"/>
    <mergeCell ref="A23:F23"/>
    <mergeCell ref="A24:F24"/>
    <mergeCell ref="A25:F25"/>
    <mergeCell ref="A26:F26"/>
    <mergeCell ref="A27:F27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/>
  <cp:lastPrinted>2020-09-18T09:58:14Z</cp:lastPrinted>
  <dcterms:created xsi:type="dcterms:W3CDTF">2020-07-29T22:15:56Z</dcterms:created>
  <dcterms:modified xsi:type="dcterms:W3CDTF">2020-09-18T09:58:43Z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1046-11.2.0.9363</vt:lpwstr>
  </property>
</Properties>
</file>