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. Limpeza" sheetId="1" r:id="rId1"/>
    <sheet name="2.Encargos Sociais" sheetId="2" r:id="rId2"/>
    <sheet name="3.CAGED" sheetId="3" r:id="rId3"/>
    <sheet name="4.BDI" sheetId="4" r:id="rId4"/>
    <sheet name="5 Horários" sheetId="5" r:id="rId5"/>
    <sheet name="Nr. Lixeiras" sheetId="6" r:id="rId6"/>
  </sheets>
  <definedNames>
    <definedName name="_xlnm.Print_Area" localSheetId="0">'1. Limpeza'!$A$12:$F$146</definedName>
    <definedName name="_xlnm.Print_Titles" localSheetId="0">'1. Limpeza'!$12:$12</definedName>
    <definedName name="_xlnm.Print_Area" localSheetId="1">'2.Encargos Sociais'!$A$1:$C$36</definedName>
    <definedName name="AbaDeprec">#N/A</definedName>
    <definedName name="AbaRemun">#N/A</definedName>
    <definedName name="_xlnm.Print_Area" localSheetId="0">'1. Limpeza'!$A$12:$F$146</definedName>
    <definedName name="_xlnm.Print_Titles" localSheetId="0">'1. Limpeza'!$12:$12</definedName>
    <definedName name="_xlnm.Print_Area" localSheetId="1">'2.Encargos Sociais'!$A$1:$C$36</definedName>
    <definedName name="AbaRemun" localSheetId="4">#N/A</definedName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C80" authorId="0">
      <text>
        <r>
          <rPr>
            <sz val="9"/>
            <rFont val="Tahoma"/>
            <family val="0"/>
          </rPr>
          <t>Informar o número médio de dias trabalhados por mês</t>
        </r>
      </text>
    </comment>
    <comment ref="D79" authorId="0">
      <text>
        <r>
          <rPr>
            <sz val="9"/>
            <rFont val="Tahoma"/>
            <family val="0"/>
          </rPr>
          <t>Informar o valor unitário do VT no município</t>
        </r>
      </text>
    </comment>
    <comment ref="D81" authorId="0">
      <text>
        <r>
          <rPr>
            <sz val="9"/>
            <rFont val="Tahoma"/>
            <family val="0"/>
          </rPr>
          <t>Valor Unitário considerando o desconto legal de até 6% do salário</t>
        </r>
      </text>
    </comment>
    <comment ref="D82" authorId="0">
      <text>
        <r>
          <rPr>
            <sz val="9"/>
            <rFont val="Tahoma"/>
            <family val="0"/>
          </rPr>
          <t xml:space="preserve">Valor Unitário considerando o desconto legal de até 6% do salário
</t>
        </r>
      </text>
    </comment>
    <comment ref="D93" authorId="0">
      <text>
        <r>
          <rPr>
            <sz val="9"/>
            <rFont val="Tahoma"/>
            <family val="0"/>
          </rPr>
          <t>Informar o valor mensal do auxilio alimentação, considerando o desconto aplicável ao funcionário, conforme Convenção Coletiva da categoria</t>
        </r>
      </text>
    </comment>
    <comment ref="D94" authorId="0">
      <text>
        <r>
          <rPr>
            <sz val="9"/>
            <rFont val="Tahoma"/>
            <family val="0"/>
          </rPr>
          <t>Informar o valor mensal do auxilio alimentação, considerando o desconto aplicável ao funcionário, conforme Convenção Coletiva da categoria</t>
        </r>
      </text>
    </comment>
    <comment ref="D123" authorId="0">
      <text>
        <r>
          <rPr>
            <sz val="9"/>
            <rFont val="Tahoma"/>
            <family val="0"/>
          </rPr>
          <t>Informar o valor unitário estimado para aquisição de cada material</t>
        </r>
      </text>
    </comment>
  </commentList>
</comments>
</file>

<file path=xl/sharedStrings.xml><?xml version="1.0" encoding="utf-8"?>
<sst xmlns="http://schemas.openxmlformats.org/spreadsheetml/2006/main" count="396" uniqueCount="272">
  <si>
    <t>Orientações para preenchimento:</t>
  </si>
  <si>
    <t xml:space="preserve">1. Esta planilha é somente um modelo-base, devendo ser adaptada para cada caso concreto. </t>
  </si>
  <si>
    <t>Qualquer custo previsto no edital e não contemplado nesta planilha deverá ser devidamente incluído.</t>
  </si>
  <si>
    <t>2. Antes de preenchê-la, leia a Orientação Técnica - Serviço de coleta de resíduos sólidos domiciliares</t>
  </si>
  <si>
    <t>3. Preencher somente células em amarelo</t>
  </si>
  <si>
    <t>4. As células azuis deverão ter seus valores preenchidos em outra planilha do arquivo.</t>
  </si>
  <si>
    <t>O TCE/RS não se responsabiliza pelo uso incorreto desta planilha.</t>
  </si>
  <si>
    <t>O orçamento deve ser realizado por responsável técnico habilitado e é de responsabilidade do seu autor.</t>
  </si>
  <si>
    <t xml:space="preserve">Prefeitura Municipal de Não Me Toque </t>
  </si>
  <si>
    <t>PLANILHA DE CUSTOS</t>
  </si>
  <si>
    <t>Contratação serviços de limpeza de lixeiras em Não Me Toque</t>
  </si>
  <si>
    <t>Planilha de Composição de Custos</t>
  </si>
  <si>
    <t>Orçamento Sintético</t>
  </si>
  <si>
    <t>Descrição do Item</t>
  </si>
  <si>
    <t>Custo (R$/mês)</t>
  </si>
  <si>
    <t>%</t>
  </si>
  <si>
    <t>PREÇO TOTAL MENSAL</t>
  </si>
  <si>
    <t>Salário Normativo:</t>
  </si>
  <si>
    <t>a) Categoria: Profissional prestador de serviços de coletor (limpeza urbana) cód. 5142</t>
  </si>
  <si>
    <t>Valor do piso para 220 horas mensais 2020</t>
  </si>
  <si>
    <t>Quantitativos</t>
  </si>
  <si>
    <t>Mão-de-obra</t>
  </si>
  <si>
    <t>Quantidade</t>
  </si>
  <si>
    <t xml:space="preserve">Piso da categoria Base 2020  </t>
  </si>
  <si>
    <t>Adicional de Insalubridade</t>
  </si>
  <si>
    <t>Tempo trabalho por mês (Horas) + (DSR)</t>
  </si>
  <si>
    <t xml:space="preserve">Piso da categoria  + 4,56% IPCA Base 2018  </t>
  </si>
  <si>
    <t>Tempo trabalho por mês (Horas)</t>
  </si>
  <si>
    <t>Total de mão-de-obra (postos de trabalho)</t>
  </si>
  <si>
    <t>Fator de utilização (FU)</t>
  </si>
  <si>
    <t>1. Mão-de-obra</t>
  </si>
  <si>
    <t>1.1. Categoria Profissional de Prestador de Serviços de limpeza urbana</t>
  </si>
  <si>
    <t>Discriminação</t>
  </si>
  <si>
    <t>Unidade</t>
  </si>
  <si>
    <t>Custo unitário</t>
  </si>
  <si>
    <t>Subtotal</t>
  </si>
  <si>
    <r>
      <rPr>
        <b/>
        <sz val="9"/>
        <rFont val="Arial"/>
        <family val="0"/>
      </rPr>
      <t xml:space="preserve">Total </t>
    </r>
    <r>
      <rPr>
        <b/>
        <u val="single"/>
        <sz val="9"/>
        <rFont val="Arial"/>
        <family val="0"/>
      </rPr>
      <t>(R$)</t>
    </r>
  </si>
  <si>
    <t>Piso da categoria</t>
  </si>
  <si>
    <t>mês</t>
  </si>
  <si>
    <t>Soma</t>
  </si>
  <si>
    <t>Encargos Sociais</t>
  </si>
  <si>
    <t>Total por Funcionário</t>
  </si>
  <si>
    <t>Total por Assistente Administrativo</t>
  </si>
  <si>
    <t>Total do Efetivo</t>
  </si>
  <si>
    <t>homem</t>
  </si>
  <si>
    <t xml:space="preserve">Obs: considerado 90 horas/mês c/DSR para cada funcionário.  </t>
  </si>
  <si>
    <t>Fator de util.</t>
  </si>
  <si>
    <t xml:space="preserve"> SINDICATO INTERMUNICIPAL DOS EMPREGADOS EM EMPRESAS DE ASSEIO E CONS. E 
SERVICOS TERC. EM ASSEIO E CONSER. NO RGS-SEEAC/RS  Nº DO PROCESSO 46218.000414/2020-46 DE 11/02/2020</t>
  </si>
  <si>
    <t xml:space="preserve">1.2. Encarregado dos Serviços/motorista </t>
  </si>
  <si>
    <t xml:space="preserve">Complemento por ser encarregado </t>
  </si>
  <si>
    <t>1.3. Vale Transporte</t>
  </si>
  <si>
    <t>Vale Transporte</t>
  </si>
  <si>
    <t>R$</t>
  </si>
  <si>
    <t>Dias Trabalhados por mês</t>
  </si>
  <si>
    <t>dia</t>
  </si>
  <si>
    <t>Coletor</t>
  </si>
  <si>
    <t>vale</t>
  </si>
  <si>
    <t>Motorista</t>
  </si>
  <si>
    <t xml:space="preserve">1.4. Auxílio Refeição </t>
  </si>
  <si>
    <t xml:space="preserve">Limpeza urbana </t>
  </si>
  <si>
    <t>unidade</t>
  </si>
  <si>
    <t>1.5. Auxílio Alimentação (mensal)</t>
  </si>
  <si>
    <t>Motorista/Encarregado</t>
  </si>
  <si>
    <t>Fator de utilização</t>
  </si>
  <si>
    <t xml:space="preserve">1.6. Plano de Benefício Social  </t>
  </si>
  <si>
    <t>Motorista/Encarregado (50% do valor)</t>
  </si>
  <si>
    <t>1. Custo Mensal com Mão-de-obra</t>
  </si>
  <si>
    <t>2. Uniformes e Equipamentos de Proteção Individual</t>
  </si>
  <si>
    <t>2.1. Uniformes e EPIs</t>
  </si>
  <si>
    <t>Durabilidade (meses)</t>
  </si>
  <si>
    <t>Jaqueta com reflexivo (NBR 15.292)</t>
  </si>
  <si>
    <t>Calça</t>
  </si>
  <si>
    <t>Camiseta</t>
  </si>
  <si>
    <t>Botina</t>
  </si>
  <si>
    <t>par</t>
  </si>
  <si>
    <t>Boné</t>
  </si>
  <si>
    <t>Colete reflexivo</t>
  </si>
  <si>
    <t>Luva de proteção</t>
  </si>
  <si>
    <t>Protetor solar FPS 30</t>
  </si>
  <si>
    <t>frasco 120g</t>
  </si>
  <si>
    <t xml:space="preserve">Quantidade de trabalhadores </t>
  </si>
  <si>
    <t>2. Custo Mensal com Uniformes e EPIs</t>
  </si>
  <si>
    <t>3. Ferramentas e materiais de consumo</t>
  </si>
  <si>
    <t xml:space="preserve">Sacos de lixo cap. 120 litros </t>
  </si>
  <si>
    <t>pct</t>
  </si>
  <si>
    <t>Sacos de lixo cap. 100 litros</t>
  </si>
  <si>
    <t>Custo Mensal com Ferramentas e Materiais de Consumo (R$/mês)</t>
  </si>
  <si>
    <t xml:space="preserve">4. Administração Local/Veículo de Apoio </t>
  </si>
  <si>
    <t xml:space="preserve">Veículo de apoio </t>
  </si>
  <si>
    <t>R$/km rodado</t>
  </si>
  <si>
    <t>CUSTO TOTAL MENSAL COM DESPESAS OPERACIONAIS (R$/mês)</t>
  </si>
  <si>
    <t>4. Benefícios e Despesas Indiretas</t>
  </si>
  <si>
    <t>Benefícios e despesas indiretas</t>
  </si>
  <si>
    <t>4. Custo Mensal Com BDI</t>
  </si>
  <si>
    <t>PREÇO MENSAL TOTAL</t>
  </si>
  <si>
    <t xml:space="preserve">PREÇO MENSAL POR FUNCIONÁRIO </t>
  </si>
  <si>
    <t xml:space="preserve">Obs: cada empresa deverá prever seus encargos/impostos conforme determina a legislação de sua atividade. </t>
  </si>
  <si>
    <t>1. Preencha previamente os dados de entrada na planilha 3.CAGED</t>
  </si>
  <si>
    <t xml:space="preserve">2. Composição dos Encargos Sociais </t>
  </si>
  <si>
    <t>Código</t>
  </si>
  <si>
    <t>Descrição</t>
  </si>
  <si>
    <t>Valor</t>
  </si>
  <si>
    <t>A1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</si>
  <si>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</si>
  <si>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</si>
  <si>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</si>
  <si>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</si>
  <si>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</si>
  <si>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</si>
  <si>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</si>
  <si>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</si>
  <si>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</si>
  <si>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</si>
  <si>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</si>
  <si>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</si>
  <si>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 xml:space="preserve">Seguro contra acidentes de trabalho </t>
  </si>
  <si>
    <t>A8</t>
  </si>
  <si>
    <t>FGTS</t>
  </si>
  <si>
    <t>A</t>
  </si>
  <si>
    <t>SOMA GRUPO A</t>
  </si>
  <si>
    <t>B1</t>
  </si>
  <si>
    <t>Férias gozadas</t>
  </si>
  <si>
    <t>B2</t>
  </si>
  <si>
    <t>13º salário</t>
  </si>
  <si>
    <t>B3</t>
  </si>
  <si>
    <t>Licença Maternidade/Paternidade</t>
  </si>
  <si>
    <t>B4</t>
  </si>
  <si>
    <t>Faltas justificadas</t>
  </si>
  <si>
    <t>B5</t>
  </si>
  <si>
    <t>Auxilio acidente de trabalho</t>
  </si>
  <si>
    <t>B6</t>
  </si>
  <si>
    <t>Auxilio doença</t>
  </si>
  <si>
    <t>B</t>
  </si>
  <si>
    <t>SOMA GRUPO B</t>
  </si>
  <si>
    <t>C1</t>
  </si>
  <si>
    <t>Aviso prévio indenizado</t>
  </si>
  <si>
    <t>C2</t>
  </si>
  <si>
    <t xml:space="preserve">Férias indenizadas </t>
  </si>
  <si>
    <t>C3</t>
  </si>
  <si>
    <t>Férias indenizadas s/ aviso previo inden.</t>
  </si>
  <si>
    <t>C4</t>
  </si>
  <si>
    <t>Depósito rescisão sem justa causa</t>
  </si>
  <si>
    <t>C5</t>
  </si>
  <si>
    <t>Indenização adicional</t>
  </si>
  <si>
    <t>C</t>
  </si>
  <si>
    <t>SOMA GRUPO C</t>
  </si>
  <si>
    <t>D1</t>
  </si>
  <si>
    <t>Reincidência de Grupo A sobre Grupo B</t>
  </si>
  <si>
    <t>D2</t>
  </si>
  <si>
    <t>Reincidência de Grupo A sobre aviso prévio indenizado</t>
  </si>
  <si>
    <t>D</t>
  </si>
  <si>
    <t>SOMA GRUPO D</t>
  </si>
  <si>
    <t>SOMA (A+B+C+D)</t>
  </si>
  <si>
    <t>CÁLCULO DAS VERBAS INDENIZATÓRIAS DOS EMPREGADOS NO SETOR DE LIMPEZA</t>
  </si>
  <si>
    <t>Para preencher esta planilha siga os passos 1 a 5:</t>
  </si>
  <si>
    <t xml:space="preserve">1. Acesse o Portal do CAGED no link http://bi.mte.gov.br/cagedestabelecimento/pages/consulta.xhtml </t>
  </si>
  <si>
    <t>2. Na Especificação da Consulta, selecione "Demonstrativo por período" e informe as competências relativas ao período Inicial e Final (últimos 12 meses)</t>
  </si>
  <si>
    <t>3. Nível Geográfico: selecione "Unidade da Federação" e marque a opção "Rio Grande do Sul"</t>
  </si>
  <si>
    <t>4. Nível Setorial: selecione "Classe de atividade econômica segundo a classificação CNAE – versão 2.0 (669 categorias)" e marque a opção "81290 - Atividade de limpeza não especif. anteriormente "</t>
  </si>
  <si>
    <t>5. Clique em Gerar Relatório</t>
  </si>
  <si>
    <t>6. Preencha as células em amarelo</t>
  </si>
  <si>
    <t>3. CAGED</t>
  </si>
  <si>
    <t>Rio Grande do Sul  - Atividade de limpeza não especif. anteriormente - CNAE 81290</t>
  </si>
  <si>
    <t>Admissões</t>
  </si>
  <si>
    <t>Desligamentos</t>
  </si>
  <si>
    <t>Dispensados com justa causa</t>
  </si>
  <si>
    <t>Dispensados sem justa causa</t>
  </si>
  <si>
    <t>Espontâneos</t>
  </si>
  <si>
    <t>Fim de contrato por prazo determinado</t>
  </si>
  <si>
    <t>Término de contrato</t>
  </si>
  <si>
    <t>Aposentados</t>
  </si>
  <si>
    <t>Mortos</t>
  </si>
  <si>
    <t>Transferência de saída</t>
  </si>
  <si>
    <t xml:space="preserve"> </t>
  </si>
  <si>
    <t>Indicadores</t>
  </si>
  <si>
    <t>Estoque recuperado início do Período 01-05-2017</t>
  </si>
  <si>
    <t>Estoque recuperado final do Período 31-05-2018</t>
  </si>
  <si>
    <t>Variação Emprego Absoluta de 01-05-2017 a 31-05-2018</t>
  </si>
  <si>
    <t>Rotatividade</t>
  </si>
  <si>
    <t>Demitidos s/ Justa Causa em relação ao Estoque Médio</t>
  </si>
  <si>
    <t>Dias ano</t>
  </si>
  <si>
    <t>1/3 de férias (dias)</t>
  </si>
  <si>
    <t>Férias (dias)</t>
  </si>
  <si>
    <t>13º Salário (dias)</t>
  </si>
  <si>
    <t>Estoque Médio</t>
  </si>
  <si>
    <t>Multa FGTS</t>
  </si>
  <si>
    <t>Fração de tempo para gozo férias</t>
  </si>
  <si>
    <t>Dias de Aviso prévio</t>
  </si>
  <si>
    <t>Rotatividade temporal (meses)</t>
  </si>
  <si>
    <t>1. Esta planilha é somente um modelo-base e deve ser ajustada conforme cada caso concreto.</t>
  </si>
  <si>
    <t>2. Preencher somente células em amarelo</t>
  </si>
  <si>
    <t>Composição do BDI - Benefícios e Despesas Indiretas</t>
  </si>
  <si>
    <t>Referência estudo TCE</t>
  </si>
  <si>
    <t>1° Quartil</t>
  </si>
  <si>
    <t>Médio</t>
  </si>
  <si>
    <t>3° Quartil</t>
  </si>
  <si>
    <t>Administração Central</t>
  </si>
  <si>
    <t>AC</t>
  </si>
  <si>
    <t>Seguros/Riscos/Garantias</t>
  </si>
  <si>
    <t>SRG</t>
  </si>
  <si>
    <t>Lucro</t>
  </si>
  <si>
    <t>L</t>
  </si>
  <si>
    <t>Despesas Financeiras</t>
  </si>
  <si>
    <t>DF</t>
  </si>
  <si>
    <t>SELIC</t>
  </si>
  <si>
    <t>Tributos - ISS</t>
  </si>
  <si>
    <t>T</t>
  </si>
  <si>
    <t>DU</t>
  </si>
  <si>
    <t>Tributos - PIS/COFINS</t>
  </si>
  <si>
    <t>Fórmula para o cálculo do BDI:</t>
  </si>
  <si>
    <t>{[(1+AC+SRG) x (1+L) x (1+DF)] / (1-T)} -1</t>
  </si>
  <si>
    <t>Resultado do cálculo do BDI:</t>
  </si>
  <si>
    <t>AC = taxa representativa das despesas de rateio da administração central</t>
  </si>
  <si>
    <t xml:space="preserve">R = taxa representativa de riscos </t>
  </si>
  <si>
    <t xml:space="preserve">S = taxa representativa de seguros </t>
  </si>
  <si>
    <t xml:space="preserve">G = taxa representativa de garantias </t>
  </si>
  <si>
    <t xml:space="preserve">DF = taxa representativa das despesas financeiras </t>
  </si>
  <si>
    <t xml:space="preserve">L = taxa representativa do lucro ou remuneração </t>
  </si>
  <si>
    <t xml:space="preserve">T = taxa representativa da incidência de tributos </t>
  </si>
  <si>
    <t>Planilha com os horários dos funcionários - Limpeza Urbana</t>
  </si>
  <si>
    <t>Periodicidade: Segunda, quartas e sextas-feiras</t>
  </si>
  <si>
    <t xml:space="preserve">Nr. Func. </t>
  </si>
  <si>
    <t xml:space="preserve">Cargo </t>
  </si>
  <si>
    <t xml:space="preserve">Dias </t>
  </si>
  <si>
    <t xml:space="preserve">Entrada </t>
  </si>
  <si>
    <t>Saída</t>
  </si>
  <si>
    <t>Total Horas</t>
  </si>
  <si>
    <t>Segundas, quartas e sexta</t>
  </si>
  <si>
    <t xml:space="preserve">Cargo: Atividades de limpeza urbana </t>
  </si>
  <si>
    <t xml:space="preserve">Total de horas por funcionário </t>
  </si>
  <si>
    <t xml:space="preserve">Total de dias por semana </t>
  </si>
  <si>
    <t xml:space="preserve">Total de horas por semana </t>
  </si>
  <si>
    <t xml:space="preserve">Dias úteis semana </t>
  </si>
  <si>
    <t>Total de dias com (DSR) Descanso Semanal Remunerado</t>
  </si>
  <si>
    <t>Total de horas/dia com (DSR)</t>
  </si>
  <si>
    <t xml:space="preserve">Total de dias no mês (30 dias) </t>
  </si>
  <si>
    <t>Total geral de horas mês com (DSR)</t>
  </si>
  <si>
    <t>Total geral de horas base mês com (DSR)</t>
  </si>
  <si>
    <t xml:space="preserve">Fator de utilização </t>
  </si>
  <si>
    <t xml:space="preserve">Planilha com o número de lixeiras </t>
  </si>
  <si>
    <t>Tipo de Lixeira</t>
  </si>
  <si>
    <t xml:space="preserve">Qtde </t>
  </si>
  <si>
    <t xml:space="preserve">Embalagens por lixeira mensal  </t>
  </si>
  <si>
    <t xml:space="preserve">Total Mensal de embagens </t>
  </si>
  <si>
    <t>Tipo 1 - Embal. 120litros</t>
  </si>
  <si>
    <t xml:space="preserve">Tipo 2 - Embal. 100litros </t>
  </si>
  <si>
    <t>Tipo 3 - Embal. 100litros</t>
  </si>
  <si>
    <t xml:space="preserve">Total </t>
  </si>
  <si>
    <t>Limpeza de Lixeiras Públicas</t>
  </si>
  <si>
    <t>Tipo 1</t>
  </si>
  <si>
    <t xml:space="preserve">un </t>
  </si>
  <si>
    <t>Tipo 2</t>
  </si>
  <si>
    <t>Tipo 3</t>
  </si>
  <si>
    <t>Total</t>
  </si>
  <si>
    <t>Bairro da Cidade</t>
  </si>
  <si>
    <t>Centro</t>
  </si>
  <si>
    <t>Bairro Santo Antônio</t>
  </si>
  <si>
    <t>Bairro Vila Nova</t>
  </si>
  <si>
    <t>Bairro Solano</t>
  </si>
  <si>
    <t>Bairro Arlindo Hermes</t>
  </si>
  <si>
    <t>Bairro Jardim</t>
  </si>
  <si>
    <t>Bairro Industrial</t>
  </si>
  <si>
    <t>Bairro Alfredo Alziro Roos</t>
  </si>
  <si>
    <t>Bairro Cohab</t>
  </si>
  <si>
    <t>Bairro Ioris</t>
  </si>
  <si>
    <t>Bairro Martini</t>
  </si>
  <si>
    <t>Bairro Boa Vista</t>
  </si>
  <si>
    <t>Bairro Ipiranga</t>
  </si>
  <si>
    <t>Bairro Stara</t>
  </si>
  <si>
    <t xml:space="preserve">Bairro Três Irmãos </t>
  </si>
  <si>
    <t>Bairro Viau</t>
  </si>
  <si>
    <t>Bairro Vargas</t>
  </si>
</sst>
</file>

<file path=xl/styles.xml><?xml version="1.0" encoding="utf-8"?>
<styleSheet xmlns="http://schemas.openxmlformats.org/spreadsheetml/2006/main">
  <numFmts count="22">
    <numFmt numFmtId="164" formatCode="General"/>
    <numFmt numFmtId="165" formatCode="_-&quot;R$ &quot;* #,##0.00_-;&quot;-R$ &quot;* #,##0.00_-;_-&quot;R$ &quot;* \-??_-;_-@_-"/>
    <numFmt numFmtId="166" formatCode="_-* #,##0.0_-;\-* #,##0.0_-;_-* \-??_-;_-@_-"/>
    <numFmt numFmtId="167" formatCode="0%"/>
    <numFmt numFmtId="168" formatCode="_-* #,##0.00_-;\-* #,##0.00_-;_-* \-??_-;_-@_-"/>
    <numFmt numFmtId="169" formatCode="_(* #,##0.00_);_(* \(#,##0.00\);_(* \-??_);_(@_)"/>
    <numFmt numFmtId="170" formatCode="_ * #,##0.00_ ;_ * \-#,##0.00_ ;_ * \-??_ ;_ @_ "/>
    <numFmt numFmtId="171" formatCode="#,##0.00"/>
    <numFmt numFmtId="172" formatCode="&quot;R$ &quot;#,##0.00"/>
    <numFmt numFmtId="173" formatCode="0.00%"/>
    <numFmt numFmtId="174" formatCode="&quot;R$ &quot;#,##0.00_);&quot;(R$ &quot;#,##0.00\)"/>
    <numFmt numFmtId="175" formatCode="&quot;R$ &quot;#,##0.00;[RED]&quot;R$ -&quot;#,##0.00"/>
    <numFmt numFmtId="176" formatCode="0"/>
    <numFmt numFmtId="177" formatCode="_(* #,##0_);_(* \(#,##0\);_(* \-??_);_(@_)"/>
    <numFmt numFmtId="178" formatCode="_-[$R$-416]\ * #,##0.00_-;\-[$R$-416]\ * #,##0.00_-;_-[$R$-416]\ * \-??_-;_-@_-"/>
    <numFmt numFmtId="179" formatCode="0.00"/>
    <numFmt numFmtId="180" formatCode="_(* #,##0.0000_);_(* \(#,##0.0000\);_(* \-??_);_(@_)"/>
    <numFmt numFmtId="181" formatCode="_ &quot;R$ &quot;* #,##0.00_ ;_ &quot;R$ &quot;* \-#,##0.00_ ;_ &quot;R$ &quot;* \-??_ ;_ @_ "/>
    <numFmt numFmtId="182" formatCode="# ??/??"/>
    <numFmt numFmtId="183" formatCode="0.0000"/>
    <numFmt numFmtId="184" formatCode="HH:MM"/>
    <numFmt numFmtId="185" formatCode="0.00000"/>
  </numFmts>
  <fonts count="23">
    <font>
      <sz val="10"/>
      <name val="Arial"/>
      <family val="0"/>
    </font>
    <font>
      <sz val="11"/>
      <color indexed="8"/>
      <name val="Calibri"/>
      <family val="0"/>
    </font>
    <font>
      <b/>
      <sz val="12"/>
      <name val="Arial"/>
      <family val="0"/>
    </font>
    <font>
      <sz val="12"/>
      <name val="Arial"/>
      <family val="0"/>
    </font>
    <font>
      <b/>
      <sz val="12"/>
      <color indexed="10"/>
      <name val="Arial"/>
      <family val="0"/>
    </font>
    <font>
      <b/>
      <sz val="14"/>
      <name val="Arial"/>
      <family val="0"/>
    </font>
    <font>
      <b/>
      <sz val="14"/>
      <color indexed="9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0"/>
      <name val="Arial"/>
      <family val="0"/>
    </font>
    <font>
      <b/>
      <sz val="9"/>
      <name val="Arial"/>
      <family val="0"/>
    </font>
    <font>
      <b/>
      <u val="single"/>
      <sz val="9"/>
      <name val="Arial"/>
      <family val="0"/>
    </font>
    <font>
      <sz val="8"/>
      <name val="Arial"/>
      <family val="0"/>
    </font>
    <font>
      <b/>
      <sz val="10"/>
      <color indexed="9"/>
      <name val="Arial"/>
      <family val="0"/>
    </font>
    <font>
      <sz val="10"/>
      <color indexed="9"/>
      <name val="Arial"/>
      <family val="0"/>
    </font>
    <font>
      <sz val="9"/>
      <name val="Arial"/>
      <family val="0"/>
    </font>
    <font>
      <sz val="9"/>
      <name val="Tahoma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Calibri"/>
      <family val="0"/>
    </font>
    <font>
      <b/>
      <sz val="11"/>
      <color indexed="8"/>
      <name val="Calibri"/>
      <family val="0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5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5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Protection="0">
      <alignment/>
    </xf>
    <xf numFmtId="41" fontId="0" fillId="0" borderId="0" applyFill="0" applyBorder="0" applyAlignment="0" applyProtection="0"/>
    <xf numFmtId="165" fontId="0" fillId="0" borderId="0" applyFill="0" applyBorder="0" applyProtection="0">
      <alignment/>
    </xf>
    <xf numFmtId="42" fontId="0" fillId="0" borderId="0" applyFill="0" applyBorder="0" applyAlignment="0" applyProtection="0"/>
    <xf numFmtId="167" fontId="0" fillId="0" borderId="0" applyFill="0" applyBorder="0" applyProtection="0">
      <alignment/>
    </xf>
    <xf numFmtId="165" fontId="0" fillId="0" borderId="0" applyFill="0" applyBorder="0" applyProtection="0">
      <alignment/>
    </xf>
    <xf numFmtId="166" fontId="0" fillId="0" borderId="0" applyFill="0" applyBorder="0" applyProtection="0">
      <alignment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7" fontId="0" fillId="0" borderId="0" applyFill="0" applyBorder="0" applyProtection="0">
      <alignment/>
    </xf>
    <xf numFmtId="167" fontId="0" fillId="0" borderId="0" applyFill="0" applyBorder="0" applyProtection="0">
      <alignment/>
    </xf>
    <xf numFmtId="168" fontId="0" fillId="0" borderId="0" applyFill="0" applyBorder="0" applyProtection="0">
      <alignment/>
    </xf>
    <xf numFmtId="168" fontId="0" fillId="0" borderId="0" applyFill="0" applyBorder="0" applyProtection="0">
      <alignment/>
    </xf>
    <xf numFmtId="168" fontId="0" fillId="0" borderId="0" applyFill="0" applyBorder="0" applyProtection="0">
      <alignment/>
    </xf>
    <xf numFmtId="168" fontId="0" fillId="0" borderId="0" applyFill="0" applyBorder="0" applyProtection="0">
      <alignment/>
    </xf>
    <xf numFmtId="168" fontId="0" fillId="0" borderId="0" applyFill="0" applyBorder="0" applyProtection="0">
      <alignment/>
    </xf>
    <xf numFmtId="169" fontId="0" fillId="0" borderId="0" applyFill="0" applyBorder="0" applyProtection="0">
      <alignment/>
    </xf>
    <xf numFmtId="168" fontId="0" fillId="0" borderId="0" applyFill="0" applyBorder="0" applyProtection="0">
      <alignment/>
    </xf>
    <xf numFmtId="168" fontId="0" fillId="0" borderId="0" applyFill="0" applyBorder="0" applyProtection="0">
      <alignment/>
    </xf>
    <xf numFmtId="168" fontId="0" fillId="0" borderId="0" applyFill="0" applyBorder="0" applyProtection="0">
      <alignment/>
    </xf>
    <xf numFmtId="168" fontId="0" fillId="0" borderId="0" applyFill="0" applyBorder="0" applyProtection="0">
      <alignment/>
    </xf>
    <xf numFmtId="168" fontId="0" fillId="0" borderId="0" applyFill="0" applyBorder="0" applyProtection="0">
      <alignment/>
    </xf>
    <xf numFmtId="168" fontId="0" fillId="0" borderId="0" applyFill="0" applyBorder="0" applyProtection="0">
      <alignment/>
    </xf>
    <xf numFmtId="168" fontId="0" fillId="0" borderId="0" applyFill="0" applyBorder="0" applyProtection="0">
      <alignment/>
    </xf>
    <xf numFmtId="170" fontId="0" fillId="0" borderId="0" applyFill="0" applyBorder="0" applyProtection="0">
      <alignment/>
    </xf>
  </cellStyleXfs>
  <cellXfs count="306">
    <xf numFmtId="164" fontId="0" fillId="0" borderId="0" xfId="0" applyAlignment="1">
      <alignment/>
    </xf>
    <xf numFmtId="164" fontId="0" fillId="0" borderId="0" xfId="0" applyFont="1" applyAlignment="1">
      <alignment vertical="center"/>
    </xf>
    <xf numFmtId="169" fontId="0" fillId="0" borderId="0" xfId="15" applyFont="1" applyFill="1" applyBorder="1" applyAlignment="1" applyProtection="1">
      <alignment vertical="center"/>
      <protection/>
    </xf>
    <xf numFmtId="164" fontId="2" fillId="0" borderId="0" xfId="0" applyFont="1" applyAlignment="1">
      <alignment vertical="center"/>
    </xf>
    <xf numFmtId="171" fontId="2" fillId="0" borderId="0" xfId="0" applyNumberFormat="1" applyFont="1" applyBorder="1" applyAlignment="1">
      <alignment vertical="center"/>
    </xf>
    <xf numFmtId="171" fontId="3" fillId="0" borderId="0" xfId="0" applyNumberFormat="1" applyFont="1" applyBorder="1" applyAlignment="1">
      <alignment vertical="center"/>
    </xf>
    <xf numFmtId="164" fontId="0" fillId="0" borderId="0" xfId="0" applyFont="1" applyBorder="1" applyAlignment="1">
      <alignment vertical="center"/>
    </xf>
    <xf numFmtId="171" fontId="4" fillId="0" borderId="0" xfId="0" applyNumberFormat="1" applyFont="1" applyBorder="1" applyAlignment="1">
      <alignment vertical="center"/>
    </xf>
    <xf numFmtId="164" fontId="5" fillId="0" borderId="0" xfId="0" applyFont="1" applyAlignment="1">
      <alignment vertical="center"/>
    </xf>
    <xf numFmtId="164" fontId="6" fillId="2" borderId="0" xfId="0" applyFont="1" applyFill="1" applyBorder="1" applyAlignment="1">
      <alignment horizontal="center" vertical="center"/>
    </xf>
    <xf numFmtId="164" fontId="0" fillId="0" borderId="0" xfId="0" applyAlignment="1">
      <alignment vertical="center"/>
    </xf>
    <xf numFmtId="164" fontId="5" fillId="3" borderId="1" xfId="0" applyFont="1" applyFill="1" applyBorder="1" applyAlignment="1">
      <alignment horizontal="center" wrapText="1"/>
    </xf>
    <xf numFmtId="169" fontId="7" fillId="0" borderId="0" xfId="15" applyFont="1" applyFill="1" applyBorder="1" applyAlignment="1" applyProtection="1">
      <alignment vertical="center"/>
      <protection/>
    </xf>
    <xf numFmtId="164" fontId="7" fillId="0" borderId="0" xfId="0" applyFont="1" applyAlignment="1">
      <alignment vertical="center"/>
    </xf>
    <xf numFmtId="164" fontId="8" fillId="3" borderId="2" xfId="0" applyFont="1" applyFill="1" applyBorder="1" applyAlignment="1">
      <alignment horizontal="center" vertical="center"/>
    </xf>
    <xf numFmtId="164" fontId="0" fillId="0" borderId="3" xfId="0" applyFill="1" applyBorder="1" applyAlignment="1">
      <alignment vertical="center"/>
    </xf>
    <xf numFmtId="171" fontId="0" fillId="0" borderId="0" xfId="0" applyNumberFormat="1" applyFill="1" applyBorder="1" applyAlignment="1">
      <alignment vertical="center"/>
    </xf>
    <xf numFmtId="169" fontId="0" fillId="0" borderId="4" xfId="15" applyFont="1" applyFill="1" applyBorder="1" applyAlignment="1" applyProtection="1">
      <alignment vertical="center"/>
      <protection/>
    </xf>
    <xf numFmtId="169" fontId="2" fillId="3" borderId="5" xfId="15" applyFont="1" applyFill="1" applyBorder="1" applyAlignment="1" applyProtection="1">
      <alignment horizontal="center" vertical="center"/>
      <protection/>
    </xf>
    <xf numFmtId="169" fontId="9" fillId="0" borderId="6" xfId="15" applyFont="1" applyFill="1" applyBorder="1" applyAlignment="1" applyProtection="1">
      <alignment horizontal="center" vertical="center"/>
      <protection/>
    </xf>
    <xf numFmtId="169" fontId="0" fillId="0" borderId="7" xfId="15" applyFont="1" applyFill="1" applyBorder="1" applyAlignment="1" applyProtection="1">
      <alignment vertical="center"/>
      <protection/>
    </xf>
    <xf numFmtId="169" fontId="9" fillId="0" borderId="7" xfId="15" applyFont="1" applyFill="1" applyBorder="1" applyAlignment="1" applyProtection="1">
      <alignment vertical="center"/>
      <protection/>
    </xf>
    <xf numFmtId="169" fontId="9" fillId="0" borderId="8" xfId="15" applyFont="1" applyFill="1" applyBorder="1" applyAlignment="1" applyProtection="1">
      <alignment vertical="center"/>
      <protection/>
    </xf>
    <xf numFmtId="169" fontId="9" fillId="0" borderId="9" xfId="15" applyFont="1" applyFill="1" applyBorder="1" applyAlignment="1" applyProtection="1">
      <alignment horizontal="center" vertical="center"/>
      <protection/>
    </xf>
    <xf numFmtId="169" fontId="9" fillId="0" borderId="10" xfId="15" applyFont="1" applyFill="1" applyBorder="1" applyAlignment="1" applyProtection="1">
      <alignment vertical="center"/>
      <protection/>
    </xf>
    <xf numFmtId="169" fontId="9" fillId="0" borderId="11" xfId="0" applyNumberFormat="1" applyFont="1" applyBorder="1" applyAlignment="1">
      <alignment vertical="center"/>
    </xf>
    <xf numFmtId="169" fontId="9" fillId="0" borderId="11" xfId="15" applyFont="1" applyFill="1" applyBorder="1" applyAlignment="1" applyProtection="1">
      <alignment vertical="center"/>
      <protection/>
    </xf>
    <xf numFmtId="172" fontId="9" fillId="0" borderId="12" xfId="0" applyNumberFormat="1" applyFont="1" applyBorder="1" applyAlignment="1">
      <alignment horizontal="right" vertical="center"/>
    </xf>
    <xf numFmtId="173" fontId="9" fillId="0" borderId="13" xfId="19" applyNumberFormat="1" applyFont="1" applyFill="1" applyBorder="1" applyAlignment="1" applyProtection="1">
      <alignment horizontal="center" vertical="center"/>
      <protection/>
    </xf>
    <xf numFmtId="169" fontId="9" fillId="0" borderId="0" xfId="15" applyFont="1" applyFill="1" applyBorder="1" applyAlignment="1" applyProtection="1">
      <alignment vertical="center"/>
      <protection/>
    </xf>
    <xf numFmtId="164" fontId="9" fillId="0" borderId="0" xfId="0" applyFont="1" applyAlignment="1">
      <alignment vertical="center"/>
    </xf>
    <xf numFmtId="169" fontId="0" fillId="0" borderId="10" xfId="15" applyFont="1" applyFill="1" applyBorder="1" applyAlignment="1" applyProtection="1">
      <alignment vertical="center"/>
      <protection/>
    </xf>
    <xf numFmtId="169" fontId="0" fillId="0" borderId="11" xfId="0" applyNumberFormat="1" applyBorder="1" applyAlignment="1">
      <alignment vertical="center"/>
    </xf>
    <xf numFmtId="169" fontId="0" fillId="0" borderId="11" xfId="15" applyFont="1" applyFill="1" applyBorder="1" applyAlignment="1" applyProtection="1">
      <alignment vertical="center"/>
      <protection/>
    </xf>
    <xf numFmtId="172" fontId="0" fillId="0" borderId="12" xfId="0" applyNumberFormat="1" applyBorder="1" applyAlignment="1">
      <alignment horizontal="right" vertical="center"/>
    </xf>
    <xf numFmtId="173" fontId="0" fillId="0" borderId="13" xfId="19" applyNumberFormat="1" applyFont="1" applyFill="1" applyBorder="1" applyAlignment="1" applyProtection="1">
      <alignment horizontal="center" vertical="center"/>
      <protection/>
    </xf>
    <xf numFmtId="169" fontId="9" fillId="0" borderId="10" xfId="15" applyFont="1" applyFill="1" applyBorder="1" applyAlignment="1" applyProtection="1">
      <alignment horizontal="left" vertical="center"/>
      <protection/>
    </xf>
    <xf numFmtId="169" fontId="0" fillId="0" borderId="10" xfId="15" applyFont="1" applyFill="1" applyBorder="1" applyAlignment="1" applyProtection="1">
      <alignment horizontal="left" vertical="center"/>
      <protection/>
    </xf>
    <xf numFmtId="169" fontId="9" fillId="0" borderId="11" xfId="15" applyFont="1" applyFill="1" applyBorder="1" applyAlignment="1" applyProtection="1">
      <alignment horizontal="left" vertical="center"/>
      <protection/>
    </xf>
    <xf numFmtId="172" fontId="0" fillId="0" borderId="12" xfId="0" applyNumberFormat="1" applyFont="1" applyBorder="1" applyAlignment="1">
      <alignment horizontal="right" vertical="center"/>
    </xf>
    <xf numFmtId="171" fontId="9" fillId="0" borderId="11" xfId="0" applyNumberFormat="1" applyFont="1" applyBorder="1" applyAlignment="1">
      <alignment horizontal="center" vertical="center"/>
    </xf>
    <xf numFmtId="172" fontId="9" fillId="0" borderId="14" xfId="0" applyNumberFormat="1" applyFont="1" applyBorder="1" applyAlignment="1">
      <alignment horizontal="right" vertical="center"/>
    </xf>
    <xf numFmtId="172" fontId="9" fillId="0" borderId="15" xfId="0" applyNumberFormat="1" applyFont="1" applyBorder="1" applyAlignment="1">
      <alignment horizontal="right" vertical="center"/>
    </xf>
    <xf numFmtId="169" fontId="9" fillId="0" borderId="16" xfId="15" applyFont="1" applyFill="1" applyBorder="1" applyAlignment="1" applyProtection="1">
      <alignment horizontal="left" vertical="center"/>
      <protection/>
    </xf>
    <xf numFmtId="171" fontId="9" fillId="0" borderId="17" xfId="0" applyNumberFormat="1" applyFont="1" applyBorder="1" applyAlignment="1">
      <alignment horizontal="center" vertical="center"/>
    </xf>
    <xf numFmtId="169" fontId="9" fillId="0" borderId="17" xfId="15" applyFont="1" applyFill="1" applyBorder="1" applyAlignment="1" applyProtection="1">
      <alignment vertical="center"/>
      <protection/>
    </xf>
    <xf numFmtId="174" fontId="9" fillId="0" borderId="18" xfId="0" applyNumberFormat="1" applyFont="1" applyBorder="1" applyAlignment="1">
      <alignment vertical="center"/>
    </xf>
    <xf numFmtId="167" fontId="9" fillId="0" borderId="19" xfId="19" applyFont="1" applyFill="1" applyBorder="1" applyAlignment="1" applyProtection="1">
      <alignment horizontal="center" vertical="center"/>
      <protection/>
    </xf>
    <xf numFmtId="169" fontId="9" fillId="0" borderId="0" xfId="15" applyFont="1" applyFill="1" applyBorder="1" applyAlignment="1" applyProtection="1">
      <alignment horizontal="left" vertical="center"/>
      <protection/>
    </xf>
    <xf numFmtId="171" fontId="9" fillId="0" borderId="0" xfId="0" applyNumberFormat="1" applyFont="1" applyBorder="1" applyAlignment="1">
      <alignment horizontal="center" vertical="center"/>
    </xf>
    <xf numFmtId="174" fontId="9" fillId="0" borderId="0" xfId="0" applyNumberFormat="1" applyFont="1" applyBorder="1" applyAlignment="1">
      <alignment vertical="center"/>
    </xf>
    <xf numFmtId="167" fontId="9" fillId="0" borderId="0" xfId="19" applyFont="1" applyFill="1" applyBorder="1" applyAlignment="1" applyProtection="1">
      <alignment horizontal="center" vertical="center"/>
      <protection/>
    </xf>
    <xf numFmtId="164" fontId="2" fillId="0" borderId="0" xfId="0" applyFont="1" applyAlignment="1" applyProtection="1">
      <alignment/>
      <protection locked="0"/>
    </xf>
    <xf numFmtId="164" fontId="3" fillId="0" borderId="0" xfId="0" applyFont="1" applyAlignment="1" applyProtection="1">
      <alignment/>
      <protection locked="0"/>
    </xf>
    <xf numFmtId="175" fontId="3" fillId="0" borderId="0" xfId="0" applyNumberFormat="1" applyFont="1" applyAlignment="1" applyProtection="1">
      <alignment/>
      <protection/>
    </xf>
    <xf numFmtId="164" fontId="3" fillId="0" borderId="0" xfId="0" applyFont="1" applyAlignment="1" applyProtection="1">
      <alignment/>
      <protection locked="0"/>
    </xf>
    <xf numFmtId="175" fontId="3" fillId="4" borderId="0" xfId="0" applyNumberFormat="1" applyFont="1" applyFill="1" applyAlignment="1" applyProtection="1">
      <alignment/>
      <protection/>
    </xf>
    <xf numFmtId="175" fontId="3" fillId="0" borderId="0" xfId="0" applyNumberFormat="1" applyFont="1" applyAlignment="1" applyProtection="1">
      <alignment/>
      <protection locked="0"/>
    </xf>
    <xf numFmtId="175" fontId="3" fillId="0" borderId="0" xfId="0" applyNumberFormat="1" applyFont="1" applyAlignment="1" applyProtection="1">
      <alignment horizontal="right"/>
      <protection locked="0"/>
    </xf>
    <xf numFmtId="169" fontId="9" fillId="0" borderId="20" xfId="15" applyFont="1" applyFill="1" applyBorder="1" applyAlignment="1" applyProtection="1">
      <alignment horizontal="center" vertical="center"/>
      <protection/>
    </xf>
    <xf numFmtId="169" fontId="9" fillId="0" borderId="21" xfId="15" applyFont="1" applyFill="1" applyBorder="1" applyAlignment="1" applyProtection="1">
      <alignment horizontal="center" vertical="center"/>
      <protection/>
    </xf>
    <xf numFmtId="169" fontId="9" fillId="0" borderId="6" xfId="15" applyFont="1" applyFill="1" applyBorder="1" applyAlignment="1" applyProtection="1">
      <alignment vertical="center"/>
      <protection/>
    </xf>
    <xf numFmtId="164" fontId="0" fillId="0" borderId="7" xfId="0" applyBorder="1" applyAlignment="1">
      <alignment vertical="center"/>
    </xf>
    <xf numFmtId="176" fontId="9" fillId="4" borderId="9" xfId="15" applyNumberFormat="1" applyFont="1" applyFill="1" applyBorder="1" applyAlignment="1" applyProtection="1">
      <alignment horizontal="center" vertical="center"/>
      <protection/>
    </xf>
    <xf numFmtId="169" fontId="0" fillId="0" borderId="22" xfId="15" applyFont="1" applyFill="1" applyBorder="1" applyAlignment="1" applyProtection="1">
      <alignment vertical="center"/>
      <protection/>
    </xf>
    <xf numFmtId="169" fontId="0" fillId="0" borderId="23" xfId="15" applyFont="1" applyFill="1" applyBorder="1" applyAlignment="1" applyProtection="1">
      <alignment vertical="center"/>
      <protection/>
    </xf>
    <xf numFmtId="164" fontId="0" fillId="0" borderId="23" xfId="0" applyBorder="1" applyAlignment="1">
      <alignment vertical="center"/>
    </xf>
    <xf numFmtId="165" fontId="9" fillId="4" borderId="24" xfId="17" applyFont="1" applyFill="1" applyBorder="1" applyAlignment="1" applyProtection="1">
      <alignment horizontal="center" vertical="center"/>
      <protection/>
    </xf>
    <xf numFmtId="176" fontId="9" fillId="4" borderId="24" xfId="15" applyNumberFormat="1" applyFont="1" applyFill="1" applyBorder="1" applyAlignment="1" applyProtection="1">
      <alignment horizontal="center" vertical="center"/>
      <protection/>
    </xf>
    <xf numFmtId="164" fontId="0" fillId="0" borderId="11" xfId="0" applyBorder="1" applyAlignment="1">
      <alignment vertical="center"/>
    </xf>
    <xf numFmtId="176" fontId="9" fillId="4" borderId="25" xfId="15" applyNumberFormat="1" applyFont="1" applyFill="1" applyBorder="1" applyAlignment="1" applyProtection="1">
      <alignment horizontal="center" vertical="center"/>
      <protection/>
    </xf>
    <xf numFmtId="165" fontId="9" fillId="4" borderId="25" xfId="17" applyFont="1" applyFill="1" applyBorder="1" applyAlignment="1" applyProtection="1">
      <alignment horizontal="center" vertical="center"/>
      <protection/>
    </xf>
    <xf numFmtId="169" fontId="9" fillId="0" borderId="26" xfId="15" applyFont="1" applyFill="1" applyBorder="1" applyAlignment="1" applyProtection="1">
      <alignment vertical="center"/>
      <protection/>
    </xf>
    <xf numFmtId="171" fontId="9" fillId="0" borderId="27" xfId="0" applyNumberFormat="1" applyFont="1" applyBorder="1" applyAlignment="1">
      <alignment vertical="center"/>
    </xf>
    <xf numFmtId="164" fontId="0" fillId="0" borderId="27" xfId="0" applyBorder="1" applyAlignment="1">
      <alignment vertical="center"/>
    </xf>
    <xf numFmtId="176" fontId="9" fillId="0" borderId="28" xfId="15" applyNumberFormat="1" applyFont="1" applyFill="1" applyBorder="1" applyAlignment="1" applyProtection="1">
      <alignment horizontal="center" vertical="center"/>
      <protection/>
    </xf>
    <xf numFmtId="177" fontId="0" fillId="0" borderId="0" xfId="15" applyNumberFormat="1" applyFont="1" applyFill="1" applyBorder="1" applyAlignment="1" applyProtection="1">
      <alignment horizontal="center" vertical="center"/>
      <protection/>
    </xf>
    <xf numFmtId="169" fontId="9" fillId="0" borderId="16" xfId="15" applyFont="1" applyFill="1" applyBorder="1" applyAlignment="1" applyProtection="1">
      <alignment vertical="center"/>
      <protection/>
    </xf>
    <xf numFmtId="173" fontId="9" fillId="5" borderId="5" xfId="19" applyNumberFormat="1" applyFont="1" applyFill="1" applyBorder="1" applyAlignment="1" applyProtection="1">
      <alignment vertical="center"/>
      <protection/>
    </xf>
    <xf numFmtId="164" fontId="9" fillId="0" borderId="0" xfId="0" applyFont="1" applyBorder="1" applyAlignment="1">
      <alignment vertical="center"/>
    </xf>
    <xf numFmtId="177" fontId="9" fillId="0" borderId="0" xfId="15" applyNumberFormat="1" applyFont="1" applyFill="1" applyBorder="1" applyAlignment="1" applyProtection="1">
      <alignment horizontal="center" vertical="center"/>
      <protection/>
    </xf>
    <xf numFmtId="164" fontId="0" fillId="0" borderId="27" xfId="0" applyFont="1" applyBorder="1" applyAlignment="1">
      <alignment horizontal="left" vertical="center"/>
    </xf>
    <xf numFmtId="164" fontId="10" fillId="6" borderId="20" xfId="0" applyFont="1" applyFill="1" applyBorder="1" applyAlignment="1">
      <alignment horizontal="center" vertical="center"/>
    </xf>
    <xf numFmtId="164" fontId="10" fillId="6" borderId="29" xfId="0" applyFont="1" applyFill="1" applyBorder="1" applyAlignment="1">
      <alignment horizontal="center" vertical="center"/>
    </xf>
    <xf numFmtId="169" fontId="10" fillId="6" borderId="29" xfId="15" applyFont="1" applyFill="1" applyBorder="1" applyAlignment="1" applyProtection="1">
      <alignment horizontal="center" vertical="center"/>
      <protection/>
    </xf>
    <xf numFmtId="169" fontId="10" fillId="6" borderId="19" xfId="15" applyFont="1" applyFill="1" applyBorder="1" applyAlignment="1" applyProtection="1">
      <alignment horizontal="center" vertical="center"/>
      <protection/>
    </xf>
    <xf numFmtId="164" fontId="0" fillId="0" borderId="30" xfId="0" applyFont="1" applyBorder="1" applyAlignment="1">
      <alignment vertical="center"/>
    </xf>
    <xf numFmtId="164" fontId="0" fillId="0" borderId="30" xfId="0" applyFont="1" applyBorder="1" applyAlignment="1">
      <alignment horizontal="center" vertical="center"/>
    </xf>
    <xf numFmtId="178" fontId="0" fillId="5" borderId="30" xfId="15" applyNumberFormat="1" applyFont="1" applyFill="1" applyBorder="1" applyAlignment="1" applyProtection="1">
      <alignment horizontal="center" vertical="center"/>
      <protection/>
    </xf>
    <xf numFmtId="178" fontId="0" fillId="0" borderId="30" xfId="15" applyNumberFormat="1" applyFont="1" applyFill="1" applyBorder="1" applyAlignment="1" applyProtection="1">
      <alignment horizontal="center" vertical="center"/>
      <protection/>
    </xf>
    <xf numFmtId="164" fontId="0" fillId="0" borderId="12" xfId="0" applyFont="1" applyBorder="1" applyAlignment="1">
      <alignment vertical="center"/>
    </xf>
    <xf numFmtId="164" fontId="0" fillId="0" borderId="12" xfId="0" applyFont="1" applyBorder="1" applyAlignment="1">
      <alignment horizontal="center" vertical="center"/>
    </xf>
    <xf numFmtId="176" fontId="0" fillId="5" borderId="12" xfId="0" applyNumberFormat="1" applyFont="1" applyFill="1" applyBorder="1" applyAlignment="1">
      <alignment horizontal="center" vertical="center"/>
    </xf>
    <xf numFmtId="178" fontId="0" fillId="0" borderId="12" xfId="15" applyNumberFormat="1" applyFont="1" applyFill="1" applyBorder="1" applyAlignment="1" applyProtection="1">
      <alignment horizontal="center" vertical="center"/>
      <protection/>
    </xf>
    <xf numFmtId="164" fontId="0" fillId="0" borderId="14" xfId="0" applyFont="1" applyBorder="1" applyAlignment="1">
      <alignment vertical="center"/>
    </xf>
    <xf numFmtId="164" fontId="9" fillId="0" borderId="0" xfId="0" applyFont="1" applyAlignment="1">
      <alignment horizontal="center" vertical="center"/>
    </xf>
    <xf numFmtId="178" fontId="9" fillId="0" borderId="0" xfId="15" applyNumberFormat="1" applyFont="1" applyFill="1" applyBorder="1" applyAlignment="1" applyProtection="1">
      <alignment horizontal="center" vertical="center"/>
      <protection/>
    </xf>
    <xf numFmtId="178" fontId="9" fillId="0" borderId="14" xfId="15" applyNumberFormat="1" applyFont="1" applyFill="1" applyBorder="1" applyAlignment="1" applyProtection="1">
      <alignment horizontal="center" vertical="center"/>
      <protection/>
    </xf>
    <xf numFmtId="164" fontId="9" fillId="0" borderId="14" xfId="0" applyFont="1" applyBorder="1" applyAlignment="1">
      <alignment vertical="center"/>
    </xf>
    <xf numFmtId="179" fontId="0" fillId="7" borderId="12" xfId="15" applyNumberFormat="1" applyFont="1" applyFill="1" applyBorder="1" applyAlignment="1" applyProtection="1">
      <alignment horizontal="center" vertical="center"/>
      <protection/>
    </xf>
    <xf numFmtId="179" fontId="0" fillId="0" borderId="0" xfId="0" applyNumberFormat="1" applyFont="1" applyAlignment="1">
      <alignment vertical="center"/>
    </xf>
    <xf numFmtId="178" fontId="0" fillId="0" borderId="14" xfId="15" applyNumberFormat="1" applyFont="1" applyFill="1" applyBorder="1" applyAlignment="1" applyProtection="1">
      <alignment horizontal="center" vertical="center"/>
      <protection/>
    </xf>
    <xf numFmtId="164" fontId="12" fillId="0" borderId="0" xfId="0" applyFont="1" applyAlignment="1">
      <alignment vertical="center"/>
    </xf>
    <xf numFmtId="169" fontId="0" fillId="0" borderId="0" xfId="15" applyFont="1" applyFill="1" applyBorder="1" applyAlignment="1" applyProtection="1">
      <alignment horizontal="right" vertical="center"/>
      <protection/>
    </xf>
    <xf numFmtId="180" fontId="0" fillId="0" borderId="12" xfId="15" applyNumberFormat="1" applyFont="1" applyFill="1" applyBorder="1" applyAlignment="1" applyProtection="1">
      <alignment vertical="center"/>
      <protection/>
    </xf>
    <xf numFmtId="165" fontId="9" fillId="4" borderId="31" xfId="17" applyFont="1" applyFill="1" applyBorder="1" applyAlignment="1" applyProtection="1">
      <alignment horizontal="center" vertical="center"/>
      <protection/>
    </xf>
    <xf numFmtId="164" fontId="12" fillId="0" borderId="0" xfId="0" applyFont="1" applyBorder="1" applyAlignment="1">
      <alignment horizontal="left" wrapText="1"/>
    </xf>
    <xf numFmtId="180" fontId="0" fillId="0" borderId="0" xfId="15" applyNumberFormat="1" applyFont="1" applyFill="1" applyBorder="1" applyAlignment="1" applyProtection="1">
      <alignment vertical="center"/>
      <protection/>
    </xf>
    <xf numFmtId="169" fontId="9" fillId="5" borderId="0" xfId="15" applyFont="1" applyFill="1" applyBorder="1" applyAlignment="1" applyProtection="1">
      <alignment horizontal="center" vertical="center"/>
      <protection/>
    </xf>
    <xf numFmtId="169" fontId="0" fillId="4" borderId="30" xfId="15" applyFont="1" applyFill="1" applyBorder="1" applyAlignment="1" applyProtection="1">
      <alignment horizontal="center" vertical="center"/>
      <protection/>
    </xf>
    <xf numFmtId="165" fontId="0" fillId="0" borderId="30" xfId="17" applyFont="1" applyFill="1" applyBorder="1" applyAlignment="1" applyProtection="1">
      <alignment horizontal="center" vertical="center"/>
      <protection/>
    </xf>
    <xf numFmtId="169" fontId="0" fillId="4" borderId="12" xfId="15" applyFont="1" applyFill="1" applyBorder="1" applyAlignment="1" applyProtection="1">
      <alignment horizontal="center" vertical="center"/>
      <protection/>
    </xf>
    <xf numFmtId="165" fontId="0" fillId="0" borderId="12" xfId="17" applyFont="1" applyFill="1" applyBorder="1" applyAlignment="1" applyProtection="1">
      <alignment horizontal="center" vertical="center"/>
      <protection/>
    </xf>
    <xf numFmtId="165" fontId="9" fillId="0" borderId="0" xfId="17" applyFont="1" applyFill="1" applyBorder="1" applyAlignment="1" applyProtection="1">
      <alignment horizontal="center" vertical="center"/>
      <protection/>
    </xf>
    <xf numFmtId="164" fontId="0" fillId="7" borderId="12" xfId="15" applyNumberFormat="1" applyFont="1" applyFill="1" applyBorder="1" applyAlignment="1" applyProtection="1">
      <alignment horizontal="center" vertical="center"/>
      <protection/>
    </xf>
    <xf numFmtId="164" fontId="9" fillId="0" borderId="11" xfId="0" applyFont="1" applyBorder="1" applyAlignment="1">
      <alignment horizontal="center" vertical="center"/>
    </xf>
    <xf numFmtId="165" fontId="9" fillId="0" borderId="11" xfId="17" applyFont="1" applyFill="1" applyBorder="1" applyAlignment="1" applyProtection="1">
      <alignment horizontal="center" vertical="center"/>
      <protection/>
    </xf>
    <xf numFmtId="164" fontId="12" fillId="0" borderId="32" xfId="0" applyFont="1" applyBorder="1" applyAlignment="1">
      <alignment horizontal="left" vertical="center"/>
    </xf>
    <xf numFmtId="165" fontId="9" fillId="6" borderId="31" xfId="17" applyFont="1" applyFill="1" applyBorder="1" applyAlignment="1" applyProtection="1">
      <alignment horizontal="center" vertical="center"/>
      <protection/>
    </xf>
    <xf numFmtId="169" fontId="9" fillId="0" borderId="0" xfId="15" applyFont="1" applyFill="1" applyBorder="1" applyAlignment="1" applyProtection="1">
      <alignment horizontal="center" vertical="center"/>
      <protection/>
    </xf>
    <xf numFmtId="178" fontId="0" fillId="0" borderId="0" xfId="0" applyNumberFormat="1" applyFont="1" applyAlignment="1">
      <alignment vertical="center"/>
    </xf>
    <xf numFmtId="167" fontId="0" fillId="0" borderId="0" xfId="19" applyFont="1" applyFill="1" applyBorder="1" applyAlignment="1" applyProtection="1">
      <alignment vertical="center"/>
      <protection/>
    </xf>
    <xf numFmtId="164" fontId="0" fillId="0" borderId="0" xfId="0" applyFont="1" applyAlignment="1">
      <alignment horizontal="right" vertical="center"/>
    </xf>
    <xf numFmtId="169" fontId="0" fillId="0" borderId="0" xfId="0" applyNumberFormat="1" applyFont="1" applyAlignment="1">
      <alignment vertical="center"/>
    </xf>
    <xf numFmtId="177" fontId="0" fillId="0" borderId="12" xfId="15" applyNumberFormat="1" applyFont="1" applyFill="1" applyBorder="1" applyAlignment="1" applyProtection="1">
      <alignment horizontal="center" vertical="center"/>
      <protection/>
    </xf>
    <xf numFmtId="169" fontId="0" fillId="4" borderId="0" xfId="15" applyFont="1" applyFill="1" applyBorder="1" applyAlignment="1" applyProtection="1">
      <alignment vertical="center"/>
      <protection/>
    </xf>
    <xf numFmtId="169" fontId="0" fillId="0" borderId="12" xfId="15" applyFont="1" applyFill="1" applyBorder="1" applyAlignment="1" applyProtection="1">
      <alignment horizontal="center" vertical="center"/>
      <protection/>
    </xf>
    <xf numFmtId="164" fontId="0" fillId="4" borderId="0" xfId="0" applyFont="1" applyFill="1" applyAlignment="1">
      <alignment vertical="center"/>
    </xf>
    <xf numFmtId="177" fontId="0" fillId="0" borderId="12" xfId="15" applyNumberFormat="1" applyFont="1" applyFill="1" applyBorder="1" applyAlignment="1" applyProtection="1">
      <alignment vertical="center"/>
      <protection/>
    </xf>
    <xf numFmtId="169" fontId="0" fillId="0" borderId="30" xfId="15" applyFont="1" applyFill="1" applyBorder="1" applyAlignment="1" applyProtection="1">
      <alignment horizontal="center" vertical="center"/>
      <protection/>
    </xf>
    <xf numFmtId="169" fontId="0" fillId="0" borderId="12" xfId="15" applyNumberFormat="1" applyFont="1" applyFill="1" applyBorder="1" applyAlignment="1" applyProtection="1">
      <alignment vertical="center"/>
      <protection/>
    </xf>
    <xf numFmtId="169" fontId="9" fillId="6" borderId="5" xfId="15" applyFont="1" applyFill="1" applyBorder="1" applyAlignment="1" applyProtection="1">
      <alignment vertical="center"/>
      <protection/>
    </xf>
    <xf numFmtId="165" fontId="0" fillId="0" borderId="0" xfId="0" applyNumberFormat="1" applyFont="1" applyAlignment="1">
      <alignment vertical="center"/>
    </xf>
    <xf numFmtId="176" fontId="0" fillId="0" borderId="12" xfId="15" applyNumberFormat="1" applyFont="1" applyFill="1" applyBorder="1" applyAlignment="1" applyProtection="1">
      <alignment horizontal="center" vertical="center"/>
      <protection/>
    </xf>
    <xf numFmtId="165" fontId="0" fillId="4" borderId="12" xfId="17" applyFont="1" applyFill="1" applyBorder="1" applyAlignment="1" applyProtection="1">
      <alignment horizontal="center" vertical="center"/>
      <protection/>
    </xf>
    <xf numFmtId="165" fontId="0" fillId="4" borderId="12" xfId="17" applyFont="1" applyFill="1" applyBorder="1" applyAlignment="1" applyProtection="1">
      <alignment vertical="center"/>
      <protection/>
    </xf>
    <xf numFmtId="164" fontId="12" fillId="0" borderId="32" xfId="0" applyFont="1" applyBorder="1" applyAlignment="1">
      <alignment vertical="center"/>
    </xf>
    <xf numFmtId="169" fontId="0" fillId="0" borderId="12" xfId="15" applyFont="1" applyFill="1" applyBorder="1" applyAlignment="1" applyProtection="1">
      <alignment vertical="center"/>
      <protection/>
    </xf>
    <xf numFmtId="165" fontId="9" fillId="6" borderId="5" xfId="17" applyFont="1" applyFill="1" applyBorder="1" applyAlignment="1" applyProtection="1">
      <alignment vertical="center"/>
      <protection/>
    </xf>
    <xf numFmtId="164" fontId="12" fillId="0" borderId="0" xfId="0" applyFont="1" applyBorder="1" applyAlignment="1">
      <alignment horizontal="left" vertical="center"/>
    </xf>
    <xf numFmtId="165" fontId="9" fillId="0" borderId="0" xfId="17" applyFont="1" applyFill="1" applyBorder="1" applyAlignment="1" applyProtection="1">
      <alignment vertical="center"/>
      <protection/>
    </xf>
    <xf numFmtId="169" fontId="0" fillId="4" borderId="12" xfId="15" applyNumberFormat="1" applyFont="1" applyFill="1" applyBorder="1" applyAlignment="1" applyProtection="1">
      <alignment horizontal="center" vertical="center"/>
      <protection/>
    </xf>
    <xf numFmtId="164" fontId="13" fillId="2" borderId="16" xfId="0" applyFont="1" applyFill="1" applyBorder="1" applyAlignment="1">
      <alignment vertical="center"/>
    </xf>
    <xf numFmtId="164" fontId="13" fillId="2" borderId="17" xfId="0" applyFont="1" applyFill="1" applyBorder="1" applyAlignment="1">
      <alignment vertical="center"/>
    </xf>
    <xf numFmtId="169" fontId="13" fillId="2" borderId="17" xfId="15" applyFont="1" applyFill="1" applyBorder="1" applyAlignment="1" applyProtection="1">
      <alignment vertical="center"/>
      <protection/>
    </xf>
    <xf numFmtId="169" fontId="13" fillId="2" borderId="31" xfId="15" applyFont="1" applyFill="1" applyBorder="1" applyAlignment="1" applyProtection="1">
      <alignment vertical="center"/>
      <protection/>
    </xf>
    <xf numFmtId="165" fontId="13" fillId="2" borderId="5" xfId="17" applyFont="1" applyFill="1" applyBorder="1" applyAlignment="1" applyProtection="1">
      <alignment vertical="center"/>
      <protection/>
    </xf>
    <xf numFmtId="181" fontId="0" fillId="0" borderId="0" xfId="0" applyNumberFormat="1" applyFont="1" applyAlignment="1">
      <alignment vertical="center"/>
    </xf>
    <xf numFmtId="164" fontId="10" fillId="6" borderId="29" xfId="0" applyFont="1" applyFill="1" applyBorder="1" applyAlignment="1">
      <alignment horizontal="center" vertical="center" wrapText="1"/>
    </xf>
    <xf numFmtId="182" fontId="0" fillId="4" borderId="12" xfId="0" applyNumberFormat="1" applyFont="1" applyFill="1" applyBorder="1" applyAlignment="1">
      <alignment vertical="center"/>
    </xf>
    <xf numFmtId="165" fontId="0" fillId="4" borderId="30" xfId="17" applyFont="1" applyFill="1" applyBorder="1" applyAlignment="1" applyProtection="1">
      <alignment horizontal="center" vertical="center"/>
      <protection/>
    </xf>
    <xf numFmtId="164" fontId="0" fillId="0" borderId="12" xfId="0" applyFont="1" applyBorder="1" applyAlignment="1">
      <alignment/>
    </xf>
    <xf numFmtId="164" fontId="0" fillId="0" borderId="12" xfId="0" applyFont="1" applyBorder="1" applyAlignment="1">
      <alignment horizontal="center"/>
    </xf>
    <xf numFmtId="164" fontId="0" fillId="0" borderId="12" xfId="0" applyFont="1" applyBorder="1" applyAlignment="1">
      <alignment horizontal="left" vertical="center"/>
    </xf>
    <xf numFmtId="176" fontId="0" fillId="0" borderId="12" xfId="0" applyNumberFormat="1" applyFont="1" applyFill="1" applyBorder="1" applyAlignment="1">
      <alignment horizontal="center" vertical="center"/>
    </xf>
    <xf numFmtId="164" fontId="14" fillId="2" borderId="17" xfId="0" applyFont="1" applyFill="1" applyBorder="1" applyAlignment="1">
      <alignment vertical="center"/>
    </xf>
    <xf numFmtId="169" fontId="14" fillId="2" borderId="17" xfId="15" applyFont="1" applyFill="1" applyBorder="1" applyAlignment="1" applyProtection="1">
      <alignment vertical="center"/>
      <protection/>
    </xf>
    <xf numFmtId="169" fontId="14" fillId="2" borderId="31" xfId="15" applyFont="1" applyFill="1" applyBorder="1" applyAlignment="1" applyProtection="1">
      <alignment vertical="center"/>
      <protection/>
    </xf>
    <xf numFmtId="165" fontId="13" fillId="2" borderId="5" xfId="17" applyFont="1" applyFill="1" applyBorder="1" applyAlignment="1" applyProtection="1">
      <alignment horizontal="center" vertical="center"/>
      <protection/>
    </xf>
    <xf numFmtId="169" fontId="0" fillId="0" borderId="0" xfId="15" applyFont="1" applyFill="1" applyBorder="1" applyAlignment="1" applyProtection="1">
      <alignment horizontal="center" vertical="center"/>
      <protection/>
    </xf>
    <xf numFmtId="169" fontId="9" fillId="6" borderId="5" xfId="15" applyFont="1" applyFill="1" applyBorder="1" applyAlignment="1" applyProtection="1">
      <alignment horizontal="center" vertical="center"/>
      <protection/>
    </xf>
    <xf numFmtId="164" fontId="9" fillId="0" borderId="16" xfId="0" applyFont="1" applyBorder="1" applyAlignment="1">
      <alignment vertical="center"/>
    </xf>
    <xf numFmtId="164" fontId="9" fillId="0" borderId="17" xfId="0" applyFont="1" applyBorder="1" applyAlignment="1">
      <alignment vertical="center"/>
    </xf>
    <xf numFmtId="169" fontId="9" fillId="0" borderId="31" xfId="15" applyFont="1" applyFill="1" applyBorder="1" applyAlignment="1" applyProtection="1">
      <alignment vertical="center"/>
      <protection/>
    </xf>
    <xf numFmtId="164" fontId="0" fillId="0" borderId="12" xfId="0" applyNumberFormat="1" applyFont="1" applyBorder="1" applyAlignment="1">
      <alignment horizontal="center" vertical="center"/>
    </xf>
    <xf numFmtId="164" fontId="15" fillId="0" borderId="12" xfId="0" applyFont="1" applyBorder="1" applyAlignment="1">
      <alignment horizontal="center" vertical="center"/>
    </xf>
    <xf numFmtId="164" fontId="12" fillId="0" borderId="0" xfId="0" applyFont="1" applyBorder="1" applyAlignment="1">
      <alignment vertical="center"/>
    </xf>
    <xf numFmtId="169" fontId="9" fillId="6" borderId="5" xfId="15" applyNumberFormat="1" applyFont="1" applyFill="1" applyBorder="1" applyAlignment="1" applyProtection="1">
      <alignment horizontal="center" vertical="center"/>
      <protection/>
    </xf>
    <xf numFmtId="164" fontId="0" fillId="0" borderId="17" xfId="0" applyFont="1" applyBorder="1" applyAlignment="1">
      <alignment vertical="center"/>
    </xf>
    <xf numFmtId="169" fontId="0" fillId="0" borderId="17" xfId="15" applyFont="1" applyFill="1" applyBorder="1" applyAlignment="1" applyProtection="1">
      <alignment vertical="center"/>
      <protection/>
    </xf>
    <xf numFmtId="169" fontId="0" fillId="0" borderId="31" xfId="15" applyFont="1" applyFill="1" applyBorder="1" applyAlignment="1" applyProtection="1">
      <alignment vertical="center"/>
      <protection/>
    </xf>
    <xf numFmtId="164" fontId="10" fillId="6" borderId="33" xfId="0" applyFont="1" applyFill="1" applyBorder="1" applyAlignment="1">
      <alignment horizontal="center" vertical="center"/>
    </xf>
    <xf numFmtId="164" fontId="10" fillId="6" borderId="34" xfId="0" applyFont="1" applyFill="1" applyBorder="1" applyAlignment="1">
      <alignment horizontal="center" vertical="center"/>
    </xf>
    <xf numFmtId="169" fontId="10" fillId="6" borderId="34" xfId="15" applyFont="1" applyFill="1" applyBorder="1" applyAlignment="1" applyProtection="1">
      <alignment horizontal="center" vertical="center"/>
      <protection/>
    </xf>
    <xf numFmtId="169" fontId="10" fillId="6" borderId="9" xfId="15" applyFont="1" applyFill="1" applyBorder="1" applyAlignment="1" applyProtection="1">
      <alignment horizontal="center" vertical="center"/>
      <protection/>
    </xf>
    <xf numFmtId="164" fontId="0" fillId="5" borderId="12" xfId="0" applyFont="1" applyFill="1" applyBorder="1" applyAlignment="1">
      <alignment horizontal="left" vertical="center"/>
    </xf>
    <xf numFmtId="164" fontId="0" fillId="5" borderId="12" xfId="0" applyFont="1" applyFill="1" applyBorder="1" applyAlignment="1">
      <alignment horizontal="center" vertical="center"/>
    </xf>
    <xf numFmtId="173" fontId="0" fillId="5" borderId="12" xfId="0" applyNumberFormat="1" applyFont="1" applyFill="1" applyBorder="1" applyAlignment="1">
      <alignment horizontal="center" vertical="center"/>
    </xf>
    <xf numFmtId="165" fontId="0" fillId="5" borderId="12" xfId="0" applyNumberFormat="1" applyFont="1" applyFill="1" applyBorder="1" applyAlignment="1">
      <alignment vertical="center"/>
    </xf>
    <xf numFmtId="165" fontId="0" fillId="5" borderId="0" xfId="17" applyFont="1" applyFill="1" applyBorder="1" applyAlignment="1" applyProtection="1">
      <alignment vertical="center"/>
      <protection/>
    </xf>
    <xf numFmtId="164" fontId="13" fillId="5" borderId="0" xfId="0" applyFont="1" applyFill="1" applyBorder="1" applyAlignment="1">
      <alignment horizontal="left" vertical="center"/>
    </xf>
    <xf numFmtId="165" fontId="13" fillId="5" borderId="0" xfId="17" applyFont="1" applyFill="1" applyBorder="1" applyAlignment="1" applyProtection="1">
      <alignment horizontal="center" vertical="center"/>
      <protection/>
    </xf>
    <xf numFmtId="164" fontId="13" fillId="2" borderId="5" xfId="0" applyFont="1" applyFill="1" applyBorder="1" applyAlignment="1">
      <alignment horizontal="left" vertical="center"/>
    </xf>
    <xf numFmtId="165" fontId="9" fillId="6" borderId="0" xfId="17" applyFont="1" applyFill="1" applyBorder="1" applyAlignment="1" applyProtection="1">
      <alignment vertical="center"/>
      <protection/>
    </xf>
    <xf numFmtId="164" fontId="2" fillId="0" borderId="0" xfId="0" applyFont="1" applyBorder="1" applyAlignment="1">
      <alignment vertical="center"/>
    </xf>
    <xf numFmtId="169" fontId="2" fillId="0" borderId="0" xfId="15" applyFont="1" applyFill="1" applyBorder="1" applyAlignment="1" applyProtection="1">
      <alignment vertical="center"/>
      <protection/>
    </xf>
    <xf numFmtId="173" fontId="0" fillId="4" borderId="0" xfId="19" applyNumberFormat="1" applyFont="1" applyFill="1" applyBorder="1" applyAlignment="1" applyProtection="1">
      <alignment vertical="center"/>
      <protection/>
    </xf>
    <xf numFmtId="164" fontId="0" fillId="0" borderId="0" xfId="0" applyFont="1" applyAlignment="1">
      <alignment/>
    </xf>
    <xf numFmtId="171" fontId="0" fillId="0" borderId="0" xfId="0" applyNumberFormat="1" applyFont="1" applyBorder="1" applyAlignment="1">
      <alignment vertical="center"/>
    </xf>
    <xf numFmtId="164" fontId="5" fillId="3" borderId="35" xfId="0" applyFont="1" applyFill="1" applyBorder="1" applyAlignment="1">
      <alignment horizontal="center" vertical="center"/>
    </xf>
    <xf numFmtId="164" fontId="5" fillId="0" borderId="0" xfId="0" applyFont="1" applyFill="1" applyAlignment="1">
      <alignment vertical="center"/>
    </xf>
    <xf numFmtId="164" fontId="17" fillId="0" borderId="36" xfId="0" applyFont="1" applyBorder="1" applyAlignment="1">
      <alignment horizontal="left" vertical="center"/>
    </xf>
    <xf numFmtId="164" fontId="17" fillId="0" borderId="12" xfId="0" applyFont="1" applyBorder="1" applyAlignment="1">
      <alignment horizontal="left" vertical="center"/>
    </xf>
    <xf numFmtId="164" fontId="17" fillId="0" borderId="25" xfId="0" applyFont="1" applyBorder="1" applyAlignment="1">
      <alignment horizontal="left" vertical="center"/>
    </xf>
    <xf numFmtId="173" fontId="17" fillId="0" borderId="25" xfId="0" applyNumberFormat="1" applyFont="1" applyBorder="1" applyAlignment="1">
      <alignment horizontal="right" vertical="center"/>
    </xf>
    <xf numFmtId="164" fontId="0" fillId="0" borderId="0" xfId="0" applyFont="1" applyBorder="1" applyAlignment="1">
      <alignment/>
    </xf>
    <xf numFmtId="164" fontId="18" fillId="0" borderId="12" xfId="0" applyFont="1" applyBorder="1" applyAlignment="1">
      <alignment horizontal="left" vertical="center"/>
    </xf>
    <xf numFmtId="173" fontId="18" fillId="0" borderId="25" xfId="0" applyNumberFormat="1" applyFont="1" applyBorder="1" applyAlignment="1">
      <alignment horizontal="right" vertical="center"/>
    </xf>
    <xf numFmtId="164" fontId="17" fillId="8" borderId="36" xfId="0" applyFont="1" applyFill="1" applyBorder="1" applyAlignment="1">
      <alignment horizontal="left" vertical="center"/>
    </xf>
    <xf numFmtId="164" fontId="18" fillId="8" borderId="12" xfId="0" applyFont="1" applyFill="1" applyBorder="1" applyAlignment="1">
      <alignment horizontal="left" vertical="center"/>
    </xf>
    <xf numFmtId="173" fontId="18" fillId="8" borderId="25" xfId="0" applyNumberFormat="1" applyFont="1" applyFill="1" applyBorder="1" applyAlignment="1">
      <alignment horizontal="right" vertical="center"/>
    </xf>
    <xf numFmtId="173" fontId="0" fillId="0" borderId="0" xfId="0" applyNumberFormat="1" applyFont="1" applyAlignment="1">
      <alignment/>
    </xf>
    <xf numFmtId="167" fontId="17" fillId="0" borderId="0" xfId="19" applyFont="1" applyFill="1" applyBorder="1" applyAlignment="1" applyProtection="1">
      <alignment horizontal="right" vertical="center"/>
      <protection/>
    </xf>
    <xf numFmtId="173" fontId="0" fillId="0" borderId="0" xfId="0" applyNumberFormat="1" applyFont="1" applyBorder="1" applyAlignment="1">
      <alignment/>
    </xf>
    <xf numFmtId="164" fontId="17" fillId="0" borderId="12" xfId="0" applyFont="1" applyBorder="1" applyAlignment="1">
      <alignment horizontal="left" vertical="center" wrapText="1"/>
    </xf>
    <xf numFmtId="164" fontId="17" fillId="9" borderId="37" xfId="0" applyFont="1" applyFill="1" applyBorder="1" applyAlignment="1">
      <alignment horizontal="left" vertical="center"/>
    </xf>
    <xf numFmtId="164" fontId="18" fillId="9" borderId="15" xfId="0" applyFont="1" applyFill="1" applyBorder="1" applyAlignment="1">
      <alignment horizontal="left" vertical="center"/>
    </xf>
    <xf numFmtId="173" fontId="18" fillId="9" borderId="38" xfId="0" applyNumberFormat="1" applyFont="1" applyFill="1" applyBorder="1" applyAlignment="1">
      <alignment horizontal="right" vertical="center"/>
    </xf>
    <xf numFmtId="164" fontId="9" fillId="0" borderId="0" xfId="0" applyFont="1" applyAlignment="1">
      <alignment/>
    </xf>
    <xf numFmtId="164" fontId="0" fillId="0" borderId="0" xfId="0" applyFont="1" applyBorder="1" applyAlignment="1">
      <alignment horizontal="left" wrapText="1"/>
    </xf>
    <xf numFmtId="164" fontId="5" fillId="10" borderId="35" xfId="0" applyFont="1" applyFill="1" applyBorder="1" applyAlignment="1">
      <alignment horizontal="center"/>
    </xf>
    <xf numFmtId="164" fontId="19" fillId="0" borderId="39" xfId="0" applyFont="1" applyBorder="1" applyAlignment="1">
      <alignment horizontal="center"/>
    </xf>
    <xf numFmtId="164" fontId="18" fillId="0" borderId="40" xfId="0" applyFont="1" applyBorder="1" applyAlignment="1">
      <alignment/>
    </xf>
    <xf numFmtId="164" fontId="18" fillId="4" borderId="25" xfId="0" applyFont="1" applyFill="1" applyBorder="1" applyAlignment="1">
      <alignment/>
    </xf>
    <xf numFmtId="164" fontId="18" fillId="0" borderId="36" xfId="0" applyFont="1" applyBorder="1" applyAlignment="1">
      <alignment/>
    </xf>
    <xf numFmtId="164" fontId="7" fillId="0" borderId="36" xfId="0" applyFont="1" applyBorder="1" applyAlignment="1">
      <alignment/>
    </xf>
    <xf numFmtId="164" fontId="7" fillId="4" borderId="25" xfId="0" applyFont="1" applyFill="1" applyBorder="1" applyAlignment="1">
      <alignment/>
    </xf>
    <xf numFmtId="164" fontId="7" fillId="0" borderId="40" xfId="0" applyFont="1" applyBorder="1" applyAlignment="1">
      <alignment/>
    </xf>
    <xf numFmtId="164" fontId="7" fillId="4" borderId="41" xfId="0" applyFont="1" applyFill="1" applyBorder="1" applyAlignment="1">
      <alignment/>
    </xf>
    <xf numFmtId="164" fontId="18" fillId="0" borderId="10" xfId="0" applyFont="1" applyBorder="1" applyAlignment="1">
      <alignment/>
    </xf>
    <xf numFmtId="164" fontId="7" fillId="0" borderId="13" xfId="0" applyFont="1" applyBorder="1" applyAlignment="1">
      <alignment/>
    </xf>
    <xf numFmtId="164" fontId="7" fillId="0" borderId="42" xfId="0" applyFont="1" applyBorder="1" applyAlignment="1">
      <alignment/>
    </xf>
    <xf numFmtId="164" fontId="7" fillId="4" borderId="24" xfId="0" applyFont="1" applyFill="1" applyBorder="1" applyAlignment="1">
      <alignment/>
    </xf>
    <xf numFmtId="164" fontId="7" fillId="0" borderId="3" xfId="0" applyFont="1" applyBorder="1" applyAlignment="1">
      <alignment/>
    </xf>
    <xf numFmtId="164" fontId="7" fillId="0" borderId="4" xfId="0" applyFont="1" applyBorder="1" applyAlignment="1">
      <alignment/>
    </xf>
    <xf numFmtId="164" fontId="18" fillId="0" borderId="43" xfId="0" applyFont="1" applyBorder="1" applyAlignment="1">
      <alignment/>
    </xf>
    <xf numFmtId="183" fontId="18" fillId="0" borderId="41" xfId="0" applyNumberFormat="1" applyFont="1" applyBorder="1" applyAlignment="1">
      <alignment/>
    </xf>
    <xf numFmtId="164" fontId="18" fillId="0" borderId="44" xfId="0" applyFont="1" applyBorder="1" applyAlignment="1">
      <alignment/>
    </xf>
    <xf numFmtId="164" fontId="18" fillId="0" borderId="41" xfId="0" applyFont="1" applyBorder="1" applyAlignment="1">
      <alignment/>
    </xf>
    <xf numFmtId="164" fontId="8" fillId="0" borderId="41" xfId="0" applyFont="1" applyBorder="1" applyAlignment="1">
      <alignment/>
    </xf>
    <xf numFmtId="167" fontId="8" fillId="0" borderId="41" xfId="0" applyNumberFormat="1" applyFont="1" applyBorder="1" applyAlignment="1">
      <alignment/>
    </xf>
    <xf numFmtId="183" fontId="8" fillId="0" borderId="41" xfId="0" applyNumberFormat="1" applyFont="1" applyBorder="1" applyAlignment="1">
      <alignment/>
    </xf>
    <xf numFmtId="164" fontId="18" fillId="0" borderId="25" xfId="0" applyFont="1" applyBorder="1" applyAlignment="1">
      <alignment/>
    </xf>
    <xf numFmtId="164" fontId="18" fillId="0" borderId="26" xfId="0" applyFont="1" applyBorder="1" applyAlignment="1">
      <alignment/>
    </xf>
    <xf numFmtId="183" fontId="8" fillId="0" borderId="28" xfId="0" applyNumberFormat="1" applyFont="1" applyBorder="1" applyAlignment="1">
      <alignment/>
    </xf>
    <xf numFmtId="164" fontId="0" fillId="0" borderId="0" xfId="0" applyAlignment="1">
      <alignment horizontal="center"/>
    </xf>
    <xf numFmtId="164" fontId="7" fillId="0" borderId="0" xfId="0" applyFont="1" applyFill="1" applyAlignment="1">
      <alignment vertical="center"/>
    </xf>
    <xf numFmtId="164" fontId="7" fillId="0" borderId="0" xfId="0" applyFont="1" applyAlignment="1">
      <alignment/>
    </xf>
    <xf numFmtId="164" fontId="7" fillId="0" borderId="0" xfId="0" applyFont="1" applyAlignment="1">
      <alignment horizontal="center"/>
    </xf>
    <xf numFmtId="164" fontId="2" fillId="10" borderId="1" xfId="0" applyFont="1" applyFill="1" applyBorder="1" applyAlignment="1">
      <alignment horizontal="center" vertical="center"/>
    </xf>
    <xf numFmtId="164" fontId="8" fillId="0" borderId="3" xfId="0" applyFont="1" applyFill="1" applyBorder="1" applyAlignment="1">
      <alignment horizontal="left" vertical="center"/>
    </xf>
    <xf numFmtId="164" fontId="7" fillId="0" borderId="0" xfId="0" applyFont="1" applyFill="1" applyBorder="1" applyAlignment="1">
      <alignment vertical="center"/>
    </xf>
    <xf numFmtId="167" fontId="8" fillId="0" borderId="35" xfId="19" applyFont="1" applyFill="1" applyBorder="1" applyAlignment="1" applyProtection="1">
      <alignment horizontal="center"/>
      <protection/>
    </xf>
    <xf numFmtId="164" fontId="7" fillId="0" borderId="0" xfId="0" applyFont="1" applyBorder="1" applyAlignment="1">
      <alignment/>
    </xf>
    <xf numFmtId="167" fontId="7" fillId="0" borderId="36" xfId="19" applyFont="1" applyFill="1" applyBorder="1" applyAlignment="1" applyProtection="1">
      <alignment/>
      <protection/>
    </xf>
    <xf numFmtId="167" fontId="7" fillId="0" borderId="12" xfId="19" applyFont="1" applyFill="1" applyBorder="1" applyAlignment="1" applyProtection="1">
      <alignment horizontal="center"/>
      <protection/>
    </xf>
    <xf numFmtId="167" fontId="7" fillId="0" borderId="25" xfId="19" applyFont="1" applyFill="1" applyBorder="1" applyAlignment="1" applyProtection="1">
      <alignment/>
      <protection/>
    </xf>
    <xf numFmtId="164" fontId="7" fillId="0" borderId="45" xfId="0" applyFont="1" applyFill="1" applyBorder="1" applyAlignment="1">
      <alignment horizontal="left" vertical="center"/>
    </xf>
    <xf numFmtId="164" fontId="7" fillId="0" borderId="46" xfId="0" applyFont="1" applyFill="1" applyBorder="1" applyAlignment="1">
      <alignment horizontal="center" vertical="center"/>
    </xf>
    <xf numFmtId="173" fontId="7" fillId="4" borderId="9" xfId="0" applyNumberFormat="1" applyFont="1" applyFill="1" applyBorder="1" applyAlignment="1">
      <alignment horizontal="center" vertical="center"/>
    </xf>
    <xf numFmtId="173" fontId="7" fillId="0" borderId="36" xfId="19" applyNumberFormat="1" applyFont="1" applyFill="1" applyBorder="1" applyAlignment="1" applyProtection="1">
      <alignment horizontal="right"/>
      <protection/>
    </xf>
    <xf numFmtId="173" fontId="7" fillId="0" borderId="12" xfId="19" applyNumberFormat="1" applyFont="1" applyFill="1" applyBorder="1" applyAlignment="1" applyProtection="1">
      <alignment horizontal="right"/>
      <protection/>
    </xf>
    <xf numFmtId="173" fontId="7" fillId="0" borderId="25" xfId="19" applyNumberFormat="1" applyFont="1" applyFill="1" applyBorder="1" applyAlignment="1" applyProtection="1">
      <alignment horizontal="right"/>
      <protection/>
    </xf>
    <xf numFmtId="164" fontId="7" fillId="0" borderId="36" xfId="0" applyFont="1" applyFill="1" applyBorder="1" applyAlignment="1">
      <alignment horizontal="left" vertical="center"/>
    </xf>
    <xf numFmtId="164" fontId="7" fillId="0" borderId="12" xfId="0" applyFont="1" applyFill="1" applyBorder="1" applyAlignment="1">
      <alignment horizontal="center" vertical="center"/>
    </xf>
    <xf numFmtId="173" fontId="7" fillId="4" borderId="25" xfId="0" applyNumberFormat="1" applyFont="1" applyFill="1" applyBorder="1" applyAlignment="1">
      <alignment horizontal="center" vertical="center"/>
    </xf>
    <xf numFmtId="173" fontId="7" fillId="4" borderId="12" xfId="19" applyNumberFormat="1" applyFont="1" applyFill="1" applyBorder="1" applyAlignment="1" applyProtection="1">
      <alignment horizontal="center"/>
      <protection/>
    </xf>
    <xf numFmtId="173" fontId="7" fillId="0" borderId="25" xfId="19" applyNumberFormat="1" applyFont="1" applyFill="1" applyBorder="1" applyAlignment="1" applyProtection="1">
      <alignment/>
      <protection/>
    </xf>
    <xf numFmtId="164" fontId="7" fillId="0" borderId="15" xfId="0" applyFont="1" applyFill="1" applyBorder="1" applyAlignment="1">
      <alignment horizontal="center" vertical="center"/>
    </xf>
    <xf numFmtId="164" fontId="7" fillId="0" borderId="36" xfId="0" applyFont="1" applyBorder="1" applyAlignment="1">
      <alignment horizontal="right"/>
    </xf>
    <xf numFmtId="173" fontId="7" fillId="4" borderId="12" xfId="0" applyNumberFormat="1" applyFont="1" applyFill="1" applyBorder="1" applyAlignment="1">
      <alignment horizontal="center"/>
    </xf>
    <xf numFmtId="164" fontId="7" fillId="0" borderId="25" xfId="0" applyFont="1" applyBorder="1" applyAlignment="1">
      <alignment/>
    </xf>
    <xf numFmtId="164" fontId="7" fillId="0" borderId="37" xfId="0" applyFont="1" applyFill="1" applyBorder="1" applyAlignment="1">
      <alignment horizontal="left" vertical="center"/>
    </xf>
    <xf numFmtId="173" fontId="7" fillId="4" borderId="38" xfId="0" applyNumberFormat="1" applyFont="1" applyFill="1" applyBorder="1" applyAlignment="1">
      <alignment horizontal="center" vertical="center"/>
    </xf>
    <xf numFmtId="173" fontId="7" fillId="0" borderId="12" xfId="0" applyNumberFormat="1" applyFont="1" applyBorder="1" applyAlignment="1">
      <alignment horizontal="center"/>
    </xf>
    <xf numFmtId="164" fontId="7" fillId="0" borderId="47" xfId="0" applyFont="1" applyFill="1" applyBorder="1" applyAlignment="1">
      <alignment vertical="center"/>
    </xf>
    <xf numFmtId="164" fontId="7" fillId="0" borderId="48" xfId="0" applyFont="1" applyFill="1" applyBorder="1" applyAlignment="1">
      <alignment vertical="center"/>
    </xf>
    <xf numFmtId="173" fontId="7" fillId="0" borderId="49" xfId="0" applyNumberFormat="1" applyFont="1" applyFill="1" applyBorder="1" applyAlignment="1">
      <alignment vertical="center"/>
    </xf>
    <xf numFmtId="164" fontId="7" fillId="0" borderId="12" xfId="0" applyFont="1" applyBorder="1" applyAlignment="1">
      <alignment horizontal="center"/>
    </xf>
    <xf numFmtId="164" fontId="7" fillId="0" borderId="26" xfId="0" applyFont="1" applyFill="1" applyBorder="1" applyAlignment="1">
      <alignment horizontal="left" vertical="center"/>
    </xf>
    <xf numFmtId="164" fontId="7" fillId="0" borderId="27" xfId="0" applyFont="1" applyFill="1" applyBorder="1" applyAlignment="1">
      <alignment horizontal="left" vertical="center"/>
    </xf>
    <xf numFmtId="164" fontId="7" fillId="0" borderId="50" xfId="0" applyFont="1" applyFill="1" applyBorder="1" applyAlignment="1">
      <alignment vertical="center"/>
    </xf>
    <xf numFmtId="164" fontId="8" fillId="8" borderId="16" xfId="0" applyFont="1" applyFill="1" applyBorder="1" applyAlignment="1">
      <alignment vertical="center" wrapText="1"/>
    </xf>
    <xf numFmtId="164" fontId="7" fillId="8" borderId="17" xfId="0" applyFont="1" applyFill="1" applyBorder="1" applyAlignment="1">
      <alignment vertical="center"/>
    </xf>
    <xf numFmtId="173" fontId="8" fillId="8" borderId="31" xfId="19" applyNumberFormat="1" applyFont="1" applyFill="1" applyBorder="1" applyAlignment="1" applyProtection="1">
      <alignment horizontal="center" vertical="center" wrapText="1"/>
      <protection/>
    </xf>
    <xf numFmtId="173" fontId="7" fillId="0" borderId="37" xfId="19" applyNumberFormat="1" applyFont="1" applyFill="1" applyBorder="1" applyAlignment="1" applyProtection="1">
      <alignment horizontal="right"/>
      <protection/>
    </xf>
    <xf numFmtId="173" fontId="7" fillId="0" borderId="15" xfId="19" applyNumberFormat="1" applyFont="1" applyFill="1" applyBorder="1" applyAlignment="1" applyProtection="1">
      <alignment horizontal="right"/>
      <protection/>
    </xf>
    <xf numFmtId="173" fontId="7" fillId="0" borderId="38" xfId="19" applyNumberFormat="1" applyFont="1" applyFill="1" applyBorder="1" applyAlignment="1" applyProtection="1">
      <alignment horizontal="right"/>
      <protection/>
    </xf>
    <xf numFmtId="164" fontId="7" fillId="0" borderId="0" xfId="0" applyFont="1" applyBorder="1" applyAlignment="1">
      <alignment horizontal="left"/>
    </xf>
    <xf numFmtId="164" fontId="1" fillId="0" borderId="0" xfId="31">
      <alignment/>
      <protection/>
    </xf>
    <xf numFmtId="164" fontId="20" fillId="0" borderId="0" xfId="35" applyFont="1">
      <alignment/>
      <protection/>
    </xf>
    <xf numFmtId="164" fontId="21" fillId="0" borderId="0" xfId="31" applyFont="1">
      <alignment/>
      <protection/>
    </xf>
    <xf numFmtId="164" fontId="21" fillId="0" borderId="12" xfId="31" applyFont="1" applyBorder="1">
      <alignment/>
      <protection/>
    </xf>
    <xf numFmtId="164" fontId="21" fillId="0" borderId="12" xfId="31" applyFont="1" applyBorder="1" applyAlignment="1">
      <alignment horizontal="center"/>
      <protection/>
    </xf>
    <xf numFmtId="184" fontId="21" fillId="0" borderId="12" xfId="31" applyNumberFormat="1" applyFont="1" applyBorder="1">
      <alignment/>
      <protection/>
    </xf>
    <xf numFmtId="169" fontId="1" fillId="0" borderId="0" xfId="15" applyFont="1" applyFill="1" applyBorder="1" applyAlignment="1" applyProtection="1">
      <alignment/>
      <protection/>
    </xf>
    <xf numFmtId="168" fontId="1" fillId="0" borderId="0" xfId="31" applyNumberFormat="1">
      <alignment/>
      <protection/>
    </xf>
    <xf numFmtId="164" fontId="1" fillId="0" borderId="51" xfId="31" applyFont="1" applyBorder="1">
      <alignment/>
      <protection/>
    </xf>
    <xf numFmtId="164" fontId="1" fillId="0" borderId="11" xfId="31" applyBorder="1">
      <alignment/>
      <protection/>
    </xf>
    <xf numFmtId="169" fontId="1" fillId="0" borderId="12" xfId="15" applyFont="1" applyFill="1" applyBorder="1" applyAlignment="1" applyProtection="1">
      <alignment/>
      <protection/>
    </xf>
    <xf numFmtId="185" fontId="1" fillId="0" borderId="0" xfId="31" applyNumberFormat="1">
      <alignment/>
      <protection/>
    </xf>
    <xf numFmtId="164" fontId="1" fillId="0" borderId="12" xfId="31" applyBorder="1">
      <alignment/>
      <protection/>
    </xf>
    <xf numFmtId="164" fontId="21" fillId="0" borderId="51" xfId="31" applyFont="1" applyBorder="1">
      <alignment/>
      <protection/>
    </xf>
    <xf numFmtId="164" fontId="21" fillId="0" borderId="11" xfId="31" applyFont="1" applyBorder="1">
      <alignment/>
      <protection/>
    </xf>
    <xf numFmtId="169" fontId="21" fillId="0" borderId="12" xfId="15" applyFont="1" applyFill="1" applyBorder="1" applyAlignment="1" applyProtection="1">
      <alignment/>
      <protection/>
    </xf>
    <xf numFmtId="173" fontId="21" fillId="0" borderId="12" xfId="19" applyNumberFormat="1" applyFont="1" applyFill="1" applyBorder="1" applyAlignment="1" applyProtection="1">
      <alignment/>
      <protection/>
    </xf>
    <xf numFmtId="164" fontId="9" fillId="0" borderId="12" xfId="0" applyFont="1" applyBorder="1" applyAlignment="1">
      <alignment/>
    </xf>
    <xf numFmtId="164" fontId="9" fillId="0" borderId="12" xfId="0" applyFont="1" applyBorder="1" applyAlignment="1">
      <alignment wrapText="1"/>
    </xf>
    <xf numFmtId="164" fontId="21" fillId="0" borderId="12" xfId="28" applyFont="1" applyBorder="1" applyAlignment="1">
      <alignment horizontal="center"/>
      <protection/>
    </xf>
    <xf numFmtId="164" fontId="1" fillId="0" borderId="12" xfId="28" applyFont="1" applyBorder="1" applyAlignment="1">
      <alignment horizontal="center"/>
      <protection/>
    </xf>
    <xf numFmtId="164" fontId="1" fillId="0" borderId="12" xfId="28" applyFont="1" applyBorder="1">
      <alignment/>
      <protection/>
    </xf>
    <xf numFmtId="164" fontId="21" fillId="0" borderId="12" xfId="28" applyFont="1" applyBorder="1" applyAlignment="1">
      <alignment horizontal="right"/>
      <protection/>
    </xf>
    <xf numFmtId="164" fontId="21" fillId="0" borderId="12" xfId="28" applyFont="1" applyBorder="1">
      <alignment/>
      <protection/>
    </xf>
    <xf numFmtId="164" fontId="21" fillId="0" borderId="32" xfId="28" applyFont="1" applyBorder="1" applyAlignment="1">
      <alignment horizontal="center"/>
      <protection/>
    </xf>
    <xf numFmtId="164" fontId="21" fillId="0" borderId="12" xfId="28" applyFont="1" applyFill="1" applyBorder="1" applyAlignment="1">
      <alignment horizontal="center"/>
      <protection/>
    </xf>
    <xf numFmtId="164" fontId="1" fillId="0" borderId="12" xfId="28" applyFont="1" applyFill="1" applyBorder="1" applyAlignment="1">
      <alignment horizontal="center"/>
      <protection/>
    </xf>
  </cellXfs>
  <cellStyles count="4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oeda 2" xfId="20"/>
    <cellStyle name="Moeda 3" xfId="21"/>
    <cellStyle name="Normal 10" xfId="22"/>
    <cellStyle name="Normal 11" xfId="23"/>
    <cellStyle name="Normal 12" xfId="24"/>
    <cellStyle name="Normal 13" xfId="25"/>
    <cellStyle name="Normal 14" xfId="26"/>
    <cellStyle name="Normal 15" xfId="27"/>
    <cellStyle name="Normal 16" xfId="28"/>
    <cellStyle name="Normal 2" xfId="29"/>
    <cellStyle name="Normal 2 2" xfId="30"/>
    <cellStyle name="Normal 2 3" xfId="31"/>
    <cellStyle name="Normal 3" xfId="32"/>
    <cellStyle name="Normal 4" xfId="33"/>
    <cellStyle name="Normal 5" xfId="34"/>
    <cellStyle name="Normal 6" xfId="35"/>
    <cellStyle name="Normal 7" xfId="36"/>
    <cellStyle name="Normal 8" xfId="37"/>
    <cellStyle name="Normal 9" xfId="38"/>
    <cellStyle name="Porcentagem 2" xfId="39"/>
    <cellStyle name="Porcentagem 3" xfId="40"/>
    <cellStyle name="Separador de milhares 10" xfId="41"/>
    <cellStyle name="Separador de milhares 11" xfId="42"/>
    <cellStyle name="Separador de milhares 12" xfId="43"/>
    <cellStyle name="Separador de milhares 13" xfId="44"/>
    <cellStyle name="Separador de milhares 14" xfId="45"/>
    <cellStyle name="Separador de milhares 2" xfId="46"/>
    <cellStyle name="Separador de milhares 3" xfId="47"/>
    <cellStyle name="Separador de milhares 4" xfId="48"/>
    <cellStyle name="Separador de milhares 5" xfId="49"/>
    <cellStyle name="Separador de milhares 6" xfId="50"/>
    <cellStyle name="Separador de milhares 7" xfId="51"/>
    <cellStyle name="Separador de milhares 8" xfId="52"/>
    <cellStyle name="Separador de milhares 9" xfId="53"/>
    <cellStyle name="Vírgula 2" xfId="5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BFBFBF"/>
      <rgbColor rgb="00FF99CC"/>
      <rgbColor rgb="00CC99FF"/>
      <rgbColor rgb="00DDD9C3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2"/>
  <sheetViews>
    <sheetView tabSelected="1" workbookViewId="0" topLeftCell="A15">
      <selection activeCell="A1" sqref="A1"/>
    </sheetView>
  </sheetViews>
  <sheetFormatPr defaultColWidth="8.00390625" defaultRowHeight="12.75"/>
  <cols>
    <col min="1" max="1" width="44.421875" style="1" customWidth="1"/>
    <col min="2" max="2" width="16.00390625" style="1" customWidth="1"/>
    <col min="3" max="3" width="14.57421875" style="1" customWidth="1"/>
    <col min="4" max="4" width="14.7109375" style="2" customWidth="1"/>
    <col min="5" max="5" width="15.421875" style="2" customWidth="1"/>
    <col min="6" max="6" width="15.00390625" style="2" customWidth="1"/>
    <col min="7" max="7" width="28.140625" style="2" customWidth="1"/>
    <col min="8" max="8" width="23.8515625" style="1" hidden="1" customWidth="1"/>
    <col min="9" max="9" width="14.57421875" style="1" customWidth="1"/>
    <col min="10" max="10" width="13.421875" style="1" customWidth="1"/>
    <col min="11" max="11" width="10.57421875" style="1" customWidth="1"/>
    <col min="12" max="16384" width="9.140625" style="1" customWidth="1"/>
  </cols>
  <sheetData>
    <row r="1" ht="15.75">
      <c r="A1" s="3" t="s">
        <v>0</v>
      </c>
    </row>
    <row r="2" ht="15.75">
      <c r="A2" s="4" t="s">
        <v>1</v>
      </c>
    </row>
    <row r="3" ht="15.75">
      <c r="A3" s="4" t="s">
        <v>2</v>
      </c>
    </row>
    <row r="4" ht="15.75">
      <c r="A4" s="4" t="s">
        <v>3</v>
      </c>
    </row>
    <row r="5" ht="15.75">
      <c r="A5" s="3" t="s">
        <v>4</v>
      </c>
    </row>
    <row r="6" ht="15">
      <c r="A6" s="5" t="s">
        <v>5</v>
      </c>
    </row>
    <row r="7" ht="12.75" hidden="1">
      <c r="A7" s="6"/>
    </row>
    <row r="8" ht="15.75" hidden="1">
      <c r="A8" s="7" t="s">
        <v>6</v>
      </c>
    </row>
    <row r="9" ht="15.75">
      <c r="A9" s="4" t="s">
        <v>7</v>
      </c>
    </row>
    <row r="11" ht="18">
      <c r="A11" s="8" t="s">
        <v>8</v>
      </c>
    </row>
    <row r="12" spans="1:7" s="10" customFormat="1" ht="21.75" customHeight="1">
      <c r="A12" s="9" t="s">
        <v>9</v>
      </c>
      <c r="B12" s="9"/>
      <c r="C12" s="9"/>
      <c r="D12" s="9"/>
      <c r="E12" s="9"/>
      <c r="F12" s="9"/>
      <c r="G12" s="2"/>
    </row>
    <row r="13" spans="1:7" s="13" customFormat="1" ht="15" customHeight="1">
      <c r="A13" s="11" t="s">
        <v>10</v>
      </c>
      <c r="B13" s="11"/>
      <c r="C13" s="11"/>
      <c r="D13" s="11"/>
      <c r="E13" s="11"/>
      <c r="F13" s="11"/>
      <c r="G13" s="12"/>
    </row>
    <row r="14" spans="1:7" s="13" customFormat="1" ht="11.25" customHeight="1">
      <c r="A14" s="11"/>
      <c r="B14" s="11"/>
      <c r="C14" s="11"/>
      <c r="D14" s="11"/>
      <c r="E14" s="11"/>
      <c r="F14" s="11"/>
      <c r="G14" s="12"/>
    </row>
    <row r="15" spans="1:7" s="13" customFormat="1" ht="21.75" customHeight="1">
      <c r="A15" s="14" t="s">
        <v>11</v>
      </c>
      <c r="B15" s="14"/>
      <c r="C15" s="14"/>
      <c r="D15" s="14"/>
      <c r="E15" s="14"/>
      <c r="F15" s="14"/>
      <c r="G15" s="12"/>
    </row>
    <row r="16" spans="1:7" s="10" customFormat="1" ht="10.5" customHeight="1">
      <c r="A16" s="15"/>
      <c r="B16" s="16"/>
      <c r="C16" s="16"/>
      <c r="D16" s="2"/>
      <c r="E16" s="2"/>
      <c r="F16" s="17"/>
      <c r="G16" s="2"/>
    </row>
    <row r="17" spans="1:7" s="10" customFormat="1" ht="15.75" customHeight="1">
      <c r="A17" s="18" t="s">
        <v>12</v>
      </c>
      <c r="B17" s="18"/>
      <c r="C17" s="18"/>
      <c r="D17" s="18"/>
      <c r="E17" s="18"/>
      <c r="F17" s="18"/>
      <c r="G17" s="2"/>
    </row>
    <row r="18" spans="1:7" s="10" customFormat="1" ht="15.75" customHeight="1">
      <c r="A18" s="19" t="s">
        <v>13</v>
      </c>
      <c r="B18" s="20"/>
      <c r="C18" s="20"/>
      <c r="D18" s="21"/>
      <c r="E18" s="22" t="s">
        <v>14</v>
      </c>
      <c r="F18" s="23" t="s">
        <v>15</v>
      </c>
      <c r="G18" s="2"/>
    </row>
    <row r="19" spans="1:7" s="30" customFormat="1" ht="15.75" customHeight="1">
      <c r="A19" s="24">
        <f aca="true" t="shared" si="0" ref="A19:A20">A52</f>
        <v>0</v>
      </c>
      <c r="B19" s="25"/>
      <c r="C19" s="26"/>
      <c r="D19" s="26"/>
      <c r="E19" s="27">
        <f>+F103</f>
        <v>1819.8038</v>
      </c>
      <c r="F19" s="28">
        <f aca="true" t="shared" si="1" ref="F19:F30">_xlfn.IFERROR(E19/$E$31,0)</f>
        <v>0.5260043251917124</v>
      </c>
      <c r="G19" s="29"/>
    </row>
    <row r="20" spans="1:7" s="10" customFormat="1" ht="15.75" customHeight="1">
      <c r="A20" s="31">
        <f t="shared" si="0"/>
        <v>0</v>
      </c>
      <c r="B20" s="32"/>
      <c r="C20" s="33"/>
      <c r="D20" s="33"/>
      <c r="E20" s="34">
        <f>F61</f>
        <v>1609.6751</v>
      </c>
      <c r="F20" s="35">
        <f t="shared" si="1"/>
        <v>0.465267774885074</v>
      </c>
      <c r="G20" s="2"/>
    </row>
    <row r="21" spans="1:7" s="10" customFormat="1" ht="15.75" customHeight="1" hidden="1">
      <c r="A21" s="31">
        <f>A65</f>
        <v>0</v>
      </c>
      <c r="B21" s="32"/>
      <c r="C21" s="33"/>
      <c r="D21" s="33"/>
      <c r="E21" s="34">
        <f>F73</f>
        <v>0</v>
      </c>
      <c r="F21" s="35">
        <f t="shared" si="1"/>
        <v>0</v>
      </c>
      <c r="G21" s="2"/>
    </row>
    <row r="22" spans="1:7" s="10" customFormat="1" ht="15.75" customHeight="1">
      <c r="A22" s="31">
        <f>A77</f>
        <v>0</v>
      </c>
      <c r="B22" s="32"/>
      <c r="C22" s="33"/>
      <c r="D22" s="33"/>
      <c r="E22" s="34">
        <f>F83</f>
        <v>11.1814</v>
      </c>
      <c r="F22" s="35">
        <f t="shared" si="1"/>
        <v>0.003231922453232933</v>
      </c>
      <c r="G22" s="2"/>
    </row>
    <row r="23" spans="1:7" s="10" customFormat="1" ht="15.75" customHeight="1">
      <c r="A23" s="31">
        <f>A85</f>
        <v>0</v>
      </c>
      <c r="B23" s="32"/>
      <c r="C23" s="33"/>
      <c r="D23" s="33"/>
      <c r="E23" s="34">
        <f>F89</f>
        <v>183.3273</v>
      </c>
      <c r="F23" s="35">
        <f t="shared" si="1"/>
        <v>0.05298975237095264</v>
      </c>
      <c r="G23" s="2"/>
    </row>
    <row r="24" spans="1:7" s="10" customFormat="1" ht="15.75" customHeight="1" hidden="1">
      <c r="A24" s="31">
        <f>A91</f>
        <v>0</v>
      </c>
      <c r="B24" s="32"/>
      <c r="C24" s="33"/>
      <c r="D24" s="33"/>
      <c r="E24" s="34">
        <f>F95</f>
        <v>0</v>
      </c>
      <c r="F24" s="35">
        <f t="shared" si="1"/>
        <v>0</v>
      </c>
      <c r="G24" s="2"/>
    </row>
    <row r="25" spans="1:7" s="10" customFormat="1" ht="15.75" customHeight="1">
      <c r="A25" s="31">
        <f>A97</f>
        <v>0</v>
      </c>
      <c r="B25" s="32"/>
      <c r="C25" s="33"/>
      <c r="D25" s="33"/>
      <c r="E25" s="34">
        <f>F101</f>
        <v>15.62</v>
      </c>
      <c r="F25" s="35">
        <f t="shared" si="1"/>
        <v>0.00451487548245286</v>
      </c>
      <c r="G25" s="2"/>
    </row>
    <row r="26" spans="1:7" s="30" customFormat="1" ht="15.75" customHeight="1">
      <c r="A26" s="36">
        <f aca="true" t="shared" si="2" ref="A26:A27">A105</f>
        <v>0</v>
      </c>
      <c r="B26" s="36"/>
      <c r="C26" s="36"/>
      <c r="D26" s="26"/>
      <c r="E26" s="27">
        <f>+F119</f>
        <v>17.3147727272727</v>
      </c>
      <c r="F26" s="28">
        <f t="shared" si="1"/>
        <v>0.005004740260602238</v>
      </c>
      <c r="G26" s="29"/>
    </row>
    <row r="27" spans="1:7" s="30" customFormat="1" ht="15.75" customHeight="1">
      <c r="A27" s="37">
        <f t="shared" si="2"/>
        <v>0</v>
      </c>
      <c r="B27" s="38"/>
      <c r="C27" s="38"/>
      <c r="D27" s="26"/>
      <c r="E27" s="39">
        <f>F117</f>
        <v>17.3147727272727</v>
      </c>
      <c r="F27" s="35">
        <f t="shared" si="1"/>
        <v>0.005004740260602238</v>
      </c>
      <c r="G27" s="29"/>
    </row>
    <row r="28" spans="1:7" s="30" customFormat="1" ht="15.75" customHeight="1">
      <c r="A28" s="36">
        <f>A121</f>
        <v>0</v>
      </c>
      <c r="B28" s="40"/>
      <c r="C28" s="26"/>
      <c r="D28" s="26"/>
      <c r="E28" s="27">
        <f>F127</f>
        <v>936.39</v>
      </c>
      <c r="F28" s="28">
        <f t="shared" si="1"/>
        <v>0.2706584028818203</v>
      </c>
      <c r="G28" s="29"/>
    </row>
    <row r="29" spans="1:7" s="30" customFormat="1" ht="15.75" customHeight="1" hidden="1">
      <c r="A29" s="36">
        <f>A129</f>
        <v>0</v>
      </c>
      <c r="B29" s="38"/>
      <c r="C29" s="38"/>
      <c r="D29" s="26"/>
      <c r="E29" s="41">
        <f>F135</f>
        <v>0</v>
      </c>
      <c r="F29" s="28">
        <f t="shared" si="1"/>
        <v>0</v>
      </c>
      <c r="G29" s="29"/>
    </row>
    <row r="30" spans="1:7" s="30" customFormat="1" ht="15.75" customHeight="1">
      <c r="A30" s="36">
        <f>A140</f>
        <v>0</v>
      </c>
      <c r="B30" s="40"/>
      <c r="C30" s="26"/>
      <c r="D30" s="26"/>
      <c r="E30" s="42">
        <f>F144</f>
        <v>686.166020892727</v>
      </c>
      <c r="F30" s="28">
        <f t="shared" si="1"/>
        <v>0.19833253166586493</v>
      </c>
      <c r="G30" s="29"/>
    </row>
    <row r="31" spans="1:7" s="10" customFormat="1" ht="15.75" customHeight="1">
      <c r="A31" s="43" t="s">
        <v>16</v>
      </c>
      <c r="B31" s="44"/>
      <c r="C31" s="45"/>
      <c r="D31" s="45"/>
      <c r="E31" s="46">
        <f>E19+E26+E30+E28+E29</f>
        <v>3459.67459362</v>
      </c>
      <c r="F31" s="47">
        <f>F19+F26+F30+F28+F29</f>
        <v>1</v>
      </c>
      <c r="G31" s="2"/>
    </row>
    <row r="32" spans="1:7" s="10" customFormat="1" ht="15.75" customHeight="1">
      <c r="A32" s="48"/>
      <c r="B32" s="49"/>
      <c r="C32" s="29"/>
      <c r="D32" s="29"/>
      <c r="E32" s="50"/>
      <c r="F32" s="51"/>
      <c r="G32" s="2"/>
    </row>
    <row r="33" spans="1:7" s="10" customFormat="1" ht="15.75" customHeight="1">
      <c r="A33" s="52" t="s">
        <v>17</v>
      </c>
      <c r="B33" s="52"/>
      <c r="C33" s="29"/>
      <c r="D33" s="29"/>
      <c r="E33" s="50"/>
      <c r="F33" s="51"/>
      <c r="G33" s="2"/>
    </row>
    <row r="34" spans="1:7" s="10" customFormat="1" ht="15.75" customHeight="1">
      <c r="A34" s="52" t="s">
        <v>18</v>
      </c>
      <c r="C34" s="29"/>
      <c r="D34" s="29"/>
      <c r="E34" s="50"/>
      <c r="F34" s="51"/>
      <c r="G34" s="2"/>
    </row>
    <row r="35" spans="1:7" s="10" customFormat="1" ht="15.75" customHeight="1" hidden="1">
      <c r="A35" s="53"/>
      <c r="B35" s="52"/>
      <c r="C35" s="29"/>
      <c r="D35" s="29"/>
      <c r="E35" s="50"/>
      <c r="F35" s="51"/>
      <c r="G35" s="2"/>
    </row>
    <row r="36" spans="1:9" s="10" customFormat="1" ht="15.75" customHeight="1">
      <c r="A36" s="53"/>
      <c r="B36" s="53"/>
      <c r="C36" s="54"/>
      <c r="D36" s="53"/>
      <c r="E36" s="53"/>
      <c r="G36" s="53"/>
      <c r="H36" s="55"/>
      <c r="I36" s="55"/>
    </row>
    <row r="37" spans="1:9" s="10" customFormat="1" ht="15.75" customHeight="1">
      <c r="A37" s="53" t="s">
        <v>19</v>
      </c>
      <c r="B37" s="53"/>
      <c r="C37" s="56">
        <v>1330.31</v>
      </c>
      <c r="D37" s="53"/>
      <c r="E37" s="53"/>
      <c r="G37" s="53"/>
      <c r="H37" s="57">
        <f>C37/220</f>
        <v>6.04686363636364</v>
      </c>
      <c r="I37" s="58"/>
    </row>
    <row r="38" ht="13.5"/>
    <row r="39" spans="1:7" s="10" customFormat="1" ht="15" customHeight="1">
      <c r="A39" s="18" t="s">
        <v>20</v>
      </c>
      <c r="B39" s="18"/>
      <c r="C39" s="18"/>
      <c r="D39" s="18"/>
      <c r="E39" s="18"/>
      <c r="F39" s="2"/>
      <c r="G39" s="2"/>
    </row>
    <row r="40" spans="1:7" s="10" customFormat="1" ht="15" customHeight="1">
      <c r="A40" s="59" t="s">
        <v>21</v>
      </c>
      <c r="B40" s="59"/>
      <c r="C40" s="59"/>
      <c r="D40" s="59"/>
      <c r="E40" s="60" t="s">
        <v>22</v>
      </c>
      <c r="F40" s="2"/>
      <c r="G40" s="2"/>
    </row>
    <row r="41" spans="1:7" s="10" customFormat="1" ht="15" customHeight="1">
      <c r="A41" s="61">
        <f>+A53</f>
        <v>0</v>
      </c>
      <c r="B41" s="20"/>
      <c r="C41" s="20"/>
      <c r="D41" s="62"/>
      <c r="E41" s="63">
        <v>1</v>
      </c>
      <c r="F41" s="2"/>
      <c r="G41" s="2"/>
    </row>
    <row r="42" spans="1:7" s="10" customFormat="1" ht="15" customHeight="1">
      <c r="A42" s="64" t="s">
        <v>23</v>
      </c>
      <c r="B42" s="65"/>
      <c r="C42" s="65"/>
      <c r="D42" s="66"/>
      <c r="E42" s="67">
        <f>C37</f>
        <v>1330.31</v>
      </c>
      <c r="F42" s="2"/>
      <c r="G42" s="2"/>
    </row>
    <row r="43" spans="1:7" s="10" customFormat="1" ht="15" customHeight="1">
      <c r="A43" s="64" t="s">
        <v>24</v>
      </c>
      <c r="B43" s="65"/>
      <c r="C43" s="65"/>
      <c r="D43" s="66"/>
      <c r="E43" s="68">
        <v>40</v>
      </c>
      <c r="F43" s="2"/>
      <c r="G43" s="2"/>
    </row>
    <row r="44" spans="1:6" s="10" customFormat="1" ht="15" customHeight="1">
      <c r="A44" s="64" t="s">
        <v>25</v>
      </c>
      <c r="B44" s="65"/>
      <c r="C44" s="65"/>
      <c r="D44" s="66"/>
      <c r="E44" s="68">
        <f>'5 Horários'!F15</f>
        <v>90</v>
      </c>
      <c r="F44" s="2"/>
    </row>
    <row r="45" spans="1:6" s="10" customFormat="1" ht="15" customHeight="1" hidden="1">
      <c r="A45" s="24">
        <f>+A65</f>
        <v>0</v>
      </c>
      <c r="B45" s="33"/>
      <c r="C45" s="33"/>
      <c r="D45" s="69"/>
      <c r="E45" s="70">
        <v>0</v>
      </c>
      <c r="F45" s="2"/>
    </row>
    <row r="46" spans="1:6" s="10" customFormat="1" ht="15" customHeight="1" hidden="1">
      <c r="A46" s="64" t="s">
        <v>26</v>
      </c>
      <c r="B46" s="33"/>
      <c r="C46" s="33"/>
      <c r="D46" s="69"/>
      <c r="E46" s="71">
        <f>1354.21*1.0456</f>
        <v>1415.961976</v>
      </c>
      <c r="F46" s="2"/>
    </row>
    <row r="47" spans="1:7" s="10" customFormat="1" ht="15" customHeight="1" hidden="1">
      <c r="A47" s="31" t="s">
        <v>27</v>
      </c>
      <c r="B47" s="33"/>
      <c r="C47" s="33"/>
      <c r="D47" s="69"/>
      <c r="E47" s="70">
        <v>200</v>
      </c>
      <c r="F47" s="2"/>
      <c r="G47" s="2"/>
    </row>
    <row r="48" spans="1:7" s="10" customFormat="1" ht="15" customHeight="1">
      <c r="A48" s="72" t="s">
        <v>28</v>
      </c>
      <c r="B48" s="73"/>
      <c r="C48" s="73"/>
      <c r="D48" s="74"/>
      <c r="E48" s="75">
        <f>E41+E45</f>
        <v>1</v>
      </c>
      <c r="F48" s="2"/>
      <c r="G48" s="2"/>
    </row>
    <row r="49" spans="1:7" s="10" customFormat="1" ht="13.5">
      <c r="A49" s="2"/>
      <c r="B49" s="2"/>
      <c r="C49" s="2"/>
      <c r="D49" s="6"/>
      <c r="E49" s="76"/>
      <c r="F49" s="1"/>
      <c r="G49" s="2"/>
    </row>
    <row r="50" spans="1:7" s="30" customFormat="1" ht="15.75" customHeight="1">
      <c r="A50" s="77" t="s">
        <v>29</v>
      </c>
      <c r="B50" s="78">
        <f>(E44/220)</f>
        <v>0.409090909090909</v>
      </c>
      <c r="C50" s="29"/>
      <c r="D50" s="79"/>
      <c r="E50" s="80"/>
      <c r="G50" s="29"/>
    </row>
    <row r="51" spans="1:7" s="10" customFormat="1" ht="15.75" customHeight="1">
      <c r="A51" s="2"/>
      <c r="B51" s="2"/>
      <c r="C51" s="2"/>
      <c r="D51" s="6"/>
      <c r="E51" s="76"/>
      <c r="F51" s="1"/>
      <c r="G51" s="2"/>
    </row>
    <row r="52" ht="12.75" customHeight="1">
      <c r="A52" s="30" t="s">
        <v>30</v>
      </c>
    </row>
    <row r="53" spans="1:6" ht="13.5" customHeight="1">
      <c r="A53" s="81" t="s">
        <v>31</v>
      </c>
      <c r="B53" s="81"/>
      <c r="C53" s="81"/>
      <c r="D53" s="81"/>
      <c r="E53" s="81"/>
      <c r="F53" s="81"/>
    </row>
    <row r="54" spans="1:6" ht="13.5" customHeight="1">
      <c r="A54" s="82" t="s">
        <v>32</v>
      </c>
      <c r="B54" s="83" t="s">
        <v>33</v>
      </c>
      <c r="C54" s="83" t="s">
        <v>22</v>
      </c>
      <c r="D54" s="84" t="s">
        <v>34</v>
      </c>
      <c r="E54" s="84" t="s">
        <v>35</v>
      </c>
      <c r="F54" s="85" t="s">
        <v>36</v>
      </c>
    </row>
    <row r="55" spans="1:5" ht="12.75" customHeight="1">
      <c r="A55" s="86" t="s">
        <v>37</v>
      </c>
      <c r="B55" s="87" t="s">
        <v>38</v>
      </c>
      <c r="C55" s="87">
        <v>1</v>
      </c>
      <c r="D55" s="88">
        <f>C37</f>
        <v>1330.31</v>
      </c>
      <c r="E55" s="89">
        <f>C55*D55</f>
        <v>1330.31</v>
      </c>
    </row>
    <row r="56" spans="1:8" ht="12.75">
      <c r="A56" s="90" t="s">
        <v>24</v>
      </c>
      <c r="B56" s="91" t="s">
        <v>15</v>
      </c>
      <c r="C56" s="92">
        <v>40</v>
      </c>
      <c r="D56" s="93">
        <f>SUM(E55:E55)</f>
        <v>1330.31</v>
      </c>
      <c r="E56" s="93">
        <f>C56*D56/100</f>
        <v>532.124</v>
      </c>
      <c r="H56" s="86" t="s">
        <v>37</v>
      </c>
    </row>
    <row r="57" spans="1:8" ht="12.75">
      <c r="A57" s="94" t="s">
        <v>39</v>
      </c>
      <c r="B57" s="95"/>
      <c r="C57" s="95"/>
      <c r="D57" s="96"/>
      <c r="E57" s="97">
        <f>SUM(E55:E56)</f>
        <v>1862.434</v>
      </c>
      <c r="H57" s="98" t="s">
        <v>39</v>
      </c>
    </row>
    <row r="58" spans="1:9" ht="12.75">
      <c r="A58" s="90" t="s">
        <v>40</v>
      </c>
      <c r="B58" s="91" t="s">
        <v>15</v>
      </c>
      <c r="C58" s="99">
        <f>'2.Encargos Sociais'!$C$34*100</f>
        <v>70</v>
      </c>
      <c r="D58" s="93">
        <f>E55+E56</f>
        <v>1862.434</v>
      </c>
      <c r="E58" s="93">
        <f>D58*C58/100</f>
        <v>1303.7038</v>
      </c>
      <c r="H58" s="90" t="s">
        <v>40</v>
      </c>
      <c r="I58" s="100"/>
    </row>
    <row r="59" spans="1:8" ht="12.75">
      <c r="A59" s="94" t="s">
        <v>41</v>
      </c>
      <c r="B59" s="95"/>
      <c r="C59" s="95"/>
      <c r="D59" s="96"/>
      <c r="E59" s="101">
        <f>E55+E56+E58</f>
        <v>3166.1378</v>
      </c>
      <c r="H59" s="98" t="s">
        <v>42</v>
      </c>
    </row>
    <row r="60" spans="1:8" ht="13.5">
      <c r="A60" s="90" t="s">
        <v>43</v>
      </c>
      <c r="B60" s="91" t="s">
        <v>44</v>
      </c>
      <c r="C60" s="92">
        <v>1</v>
      </c>
      <c r="D60" s="93">
        <f>E59</f>
        <v>3166.1378</v>
      </c>
      <c r="E60" s="93">
        <f>C60*D60</f>
        <v>3166.1378</v>
      </c>
      <c r="H60" s="90" t="s">
        <v>43</v>
      </c>
    </row>
    <row r="61" spans="1:6" ht="13.5" customHeight="1">
      <c r="A61" s="102" t="s">
        <v>45</v>
      </c>
      <c r="D61" s="103" t="s">
        <v>46</v>
      </c>
      <c r="E61" s="104">
        <f>$B$50</f>
        <v>0.409090909090909</v>
      </c>
      <c r="F61" s="105">
        <f>(((E55+E58)*E61)+E56)*C60</f>
        <v>1609.6751</v>
      </c>
    </row>
    <row r="62" spans="1:9" ht="13.5" customHeight="1">
      <c r="A62" s="106" t="s">
        <v>47</v>
      </c>
      <c r="B62" s="106"/>
      <c r="C62" s="106"/>
      <c r="D62" s="106"/>
      <c r="E62" s="107"/>
      <c r="F62" s="108"/>
      <c r="I62" s="100"/>
    </row>
    <row r="63" spans="1:4" ht="11.25" customHeight="1">
      <c r="A63" s="106"/>
      <c r="B63" s="106"/>
      <c r="C63" s="106"/>
      <c r="D63" s="106"/>
    </row>
    <row r="64" ht="11.25" customHeight="1"/>
    <row r="65" ht="13.5" hidden="1">
      <c r="A65" s="1" t="s">
        <v>48</v>
      </c>
    </row>
    <row r="66" spans="1:7" s="102" customFormat="1" ht="12.75" customHeight="1" hidden="1">
      <c r="A66" s="82" t="s">
        <v>32</v>
      </c>
      <c r="B66" s="83" t="s">
        <v>33</v>
      </c>
      <c r="C66" s="83" t="s">
        <v>22</v>
      </c>
      <c r="D66" s="84" t="s">
        <v>34</v>
      </c>
      <c r="E66" s="84" t="s">
        <v>35</v>
      </c>
      <c r="F66" s="85" t="s">
        <v>36</v>
      </c>
      <c r="G66" s="2"/>
    </row>
    <row r="67" spans="1:5" ht="12.75" hidden="1">
      <c r="A67" s="86" t="s">
        <v>37</v>
      </c>
      <c r="B67" s="87" t="s">
        <v>38</v>
      </c>
      <c r="C67" s="87">
        <v>1</v>
      </c>
      <c r="D67" s="109">
        <v>1588.46</v>
      </c>
      <c r="E67" s="110">
        <f aca="true" t="shared" si="3" ref="E67:E68">C67*D67</f>
        <v>1588.46</v>
      </c>
    </row>
    <row r="68" spans="1:5" ht="12.75" hidden="1">
      <c r="A68" s="90" t="s">
        <v>49</v>
      </c>
      <c r="B68" s="91" t="s">
        <v>38</v>
      </c>
      <c r="C68" s="91">
        <v>1</v>
      </c>
      <c r="D68" s="111">
        <v>750</v>
      </c>
      <c r="E68" s="112">
        <f t="shared" si="3"/>
        <v>750</v>
      </c>
    </row>
    <row r="69" spans="1:7" s="30" customFormat="1" ht="12.75" hidden="1">
      <c r="A69" s="86" t="s">
        <v>39</v>
      </c>
      <c r="B69" s="95"/>
      <c r="C69" s="95"/>
      <c r="D69" s="113"/>
      <c r="E69" s="110">
        <f>E67+E68</f>
        <v>2338.46</v>
      </c>
      <c r="F69" s="29"/>
      <c r="G69" s="29"/>
    </row>
    <row r="70" spans="1:5" ht="12.75" hidden="1">
      <c r="A70" s="90" t="s">
        <v>40</v>
      </c>
      <c r="B70" s="91" t="s">
        <v>15</v>
      </c>
      <c r="C70" s="114">
        <f>'2.Encargos Sociais'!$C$34*100</f>
        <v>70</v>
      </c>
      <c r="D70" s="112">
        <f>E69</f>
        <v>2338.46</v>
      </c>
      <c r="E70" s="112">
        <f>D70*C70/100</f>
        <v>1636.922</v>
      </c>
    </row>
    <row r="71" spans="1:7" s="30" customFormat="1" ht="12.75" hidden="1">
      <c r="A71" s="90" t="s">
        <v>42</v>
      </c>
      <c r="B71" s="115"/>
      <c r="C71" s="115"/>
      <c r="D71" s="116"/>
      <c r="E71" s="112">
        <f>E69+E70</f>
        <v>3975.382</v>
      </c>
      <c r="F71" s="29"/>
      <c r="G71" s="29"/>
    </row>
    <row r="72" spans="1:5" ht="13.5" hidden="1">
      <c r="A72" s="90" t="s">
        <v>43</v>
      </c>
      <c r="B72" s="91" t="s">
        <v>44</v>
      </c>
      <c r="C72" s="92">
        <v>0</v>
      </c>
      <c r="D72" s="112">
        <f>E71</f>
        <v>3975.382</v>
      </c>
      <c r="E72" s="112">
        <f>C72*D72</f>
        <v>0</v>
      </c>
    </row>
    <row r="73" spans="1:6" ht="13.5" hidden="1">
      <c r="A73" s="117"/>
      <c r="B73" s="117"/>
      <c r="C73" s="117"/>
      <c r="D73" s="103" t="s">
        <v>46</v>
      </c>
      <c r="E73" s="104">
        <f>E61</f>
        <v>0.409090909090909</v>
      </c>
      <c r="F73" s="118">
        <f>E72*E73</f>
        <v>0</v>
      </c>
    </row>
    <row r="74" spans="4:6" ht="12.75" hidden="1">
      <c r="D74" s="1"/>
      <c r="E74" s="107"/>
      <c r="F74" s="108"/>
    </row>
    <row r="75" spans="4:11" ht="12.75" hidden="1">
      <c r="D75" s="1"/>
      <c r="E75" s="107"/>
      <c r="F75" s="119"/>
      <c r="I75" s="120"/>
      <c r="K75" s="120"/>
    </row>
    <row r="76" ht="11.25" customHeight="1">
      <c r="I76" s="121"/>
    </row>
    <row r="77" spans="1:9" ht="11.25" customHeight="1">
      <c r="A77" s="1" t="s">
        <v>50</v>
      </c>
      <c r="B77" s="122"/>
      <c r="D77" s="1"/>
      <c r="E77" s="123"/>
      <c r="I77" s="121"/>
    </row>
    <row r="78" spans="1:9" ht="14.25" customHeight="1">
      <c r="A78" s="82" t="s">
        <v>32</v>
      </c>
      <c r="B78" s="83" t="s">
        <v>33</v>
      </c>
      <c r="C78" s="83" t="s">
        <v>22</v>
      </c>
      <c r="D78" s="84" t="s">
        <v>34</v>
      </c>
      <c r="E78" s="84" t="s">
        <v>35</v>
      </c>
      <c r="F78" s="85" t="s">
        <v>36</v>
      </c>
      <c r="I78" s="121"/>
    </row>
    <row r="79" spans="1:9" ht="15" customHeight="1">
      <c r="A79" s="90" t="s">
        <v>51</v>
      </c>
      <c r="B79" s="91" t="s">
        <v>52</v>
      </c>
      <c r="C79" s="124">
        <v>1</v>
      </c>
      <c r="D79" s="125">
        <v>3.5</v>
      </c>
      <c r="E79" s="126"/>
      <c r="I79" s="121"/>
    </row>
    <row r="80" spans="1:9" ht="13.5" customHeight="1">
      <c r="A80" s="90" t="s">
        <v>53</v>
      </c>
      <c r="B80" s="91" t="s">
        <v>54</v>
      </c>
      <c r="C80" s="127">
        <v>13</v>
      </c>
      <c r="D80" s="126"/>
      <c r="E80" s="126"/>
      <c r="I80" s="121"/>
    </row>
    <row r="81" spans="1:9" ht="14.25" customHeight="1">
      <c r="A81" s="90" t="s">
        <v>55</v>
      </c>
      <c r="B81" s="91" t="s">
        <v>56</v>
      </c>
      <c r="C81" s="128">
        <f>$C$80*2*(C60)</f>
        <v>26</v>
      </c>
      <c r="D81" s="129">
        <f>_xlfn.IFERROR((($C$80*2*$D$79)-(E55*0.06*C80/C80))/($C$80*2),"-")</f>
        <v>0.430053846153847</v>
      </c>
      <c r="E81" s="126">
        <f aca="true" t="shared" si="4" ref="E81:E82">_xlfn.IFERROR(C81*D81,"-")</f>
        <v>11.1814</v>
      </c>
      <c r="I81" s="121"/>
    </row>
    <row r="82" spans="1:9" ht="14.25" customHeight="1" hidden="1">
      <c r="A82" s="86" t="s">
        <v>57</v>
      </c>
      <c r="B82" s="87" t="s">
        <v>56</v>
      </c>
      <c r="C82" s="128">
        <f>$C$143*2*(C51)</f>
        <v>0</v>
      </c>
      <c r="D82" s="129"/>
      <c r="E82" s="129">
        <f t="shared" si="4"/>
        <v>0</v>
      </c>
      <c r="I82" s="121"/>
    </row>
    <row r="83" spans="4:9" ht="14.25" customHeight="1">
      <c r="D83" s="103" t="s">
        <v>46</v>
      </c>
      <c r="E83" s="130">
        <v>1</v>
      </c>
      <c r="F83" s="131">
        <f>SUM(E81:E82)*E83</f>
        <v>11.1814</v>
      </c>
      <c r="I83" s="121"/>
    </row>
    <row r="84" ht="11.25" customHeight="1">
      <c r="I84" s="121"/>
    </row>
    <row r="85" spans="1:9" ht="13.5">
      <c r="A85" s="1" t="s">
        <v>58</v>
      </c>
      <c r="F85" s="29"/>
      <c r="I85" s="120"/>
    </row>
    <row r="86" spans="1:11" ht="13.5">
      <c r="A86" s="82" t="s">
        <v>32</v>
      </c>
      <c r="B86" s="83" t="s">
        <v>33</v>
      </c>
      <c r="C86" s="83" t="s">
        <v>22</v>
      </c>
      <c r="D86" s="84" t="s">
        <v>34</v>
      </c>
      <c r="E86" s="84" t="s">
        <v>35</v>
      </c>
      <c r="F86" s="85" t="s">
        <v>36</v>
      </c>
      <c r="K86" s="132"/>
    </row>
    <row r="87" spans="1:9" ht="13.5">
      <c r="A87" s="90" t="s">
        <v>59</v>
      </c>
      <c r="B87" s="91" t="s">
        <v>60</v>
      </c>
      <c r="C87" s="133">
        <f>E48</f>
        <v>1</v>
      </c>
      <c r="D87" s="134">
        <f>17.41*0.81</f>
        <v>14.1021</v>
      </c>
      <c r="E87" s="135">
        <f>(D87*C87*C80)</f>
        <v>183.3273</v>
      </c>
      <c r="F87" s="29"/>
      <c r="I87" s="120"/>
    </row>
    <row r="88" spans="1:9" ht="13.5" hidden="1">
      <c r="A88" s="90"/>
      <c r="B88" s="91" t="s">
        <v>60</v>
      </c>
      <c r="C88" s="133">
        <v>0</v>
      </c>
      <c r="D88" s="134">
        <f>11.7*0.8</f>
        <v>9.36</v>
      </c>
      <c r="E88" s="135">
        <f>(D88*C88*C80)*0.5</f>
        <v>0</v>
      </c>
      <c r="F88" s="29"/>
      <c r="I88" s="120"/>
    </row>
    <row r="89" spans="1:6" s="1" customFormat="1" ht="13.5">
      <c r="A89" s="136"/>
      <c r="B89" s="136"/>
      <c r="D89" s="103" t="s">
        <v>46</v>
      </c>
      <c r="E89" s="137">
        <v>1</v>
      </c>
      <c r="F89" s="138">
        <f>SUM(E87:E88)*E89</f>
        <v>183.3273</v>
      </c>
    </row>
    <row r="90" spans="1:7" ht="12.75">
      <c r="A90" s="139"/>
      <c r="B90" s="139"/>
      <c r="D90" s="103"/>
      <c r="F90" s="140"/>
      <c r="G90" s="1"/>
    </row>
    <row r="91" spans="1:7" ht="13.5" hidden="1">
      <c r="A91" s="1" t="s">
        <v>61</v>
      </c>
      <c r="F91" s="29"/>
      <c r="G91" s="1"/>
    </row>
    <row r="92" spans="1:6" s="1" customFormat="1" ht="13.5" hidden="1">
      <c r="A92" s="82" t="s">
        <v>32</v>
      </c>
      <c r="B92" s="83" t="s">
        <v>33</v>
      </c>
      <c r="C92" s="83" t="s">
        <v>22</v>
      </c>
      <c r="D92" s="84" t="s">
        <v>34</v>
      </c>
      <c r="E92" s="84" t="s">
        <v>35</v>
      </c>
      <c r="F92" s="85" t="s">
        <v>36</v>
      </c>
    </row>
    <row r="93" spans="1:6" s="1" customFormat="1" ht="12.75" hidden="1">
      <c r="A93" s="90">
        <f>+A87</f>
        <v>0</v>
      </c>
      <c r="B93" s="91" t="s">
        <v>60</v>
      </c>
      <c r="C93" s="128">
        <v>0</v>
      </c>
      <c r="D93" s="141"/>
      <c r="E93" s="137">
        <f aca="true" t="shared" si="5" ref="E93:E94">C93*D93</f>
        <v>0</v>
      </c>
      <c r="F93" s="29"/>
    </row>
    <row r="94" spans="1:6" s="1" customFormat="1" ht="13.5" hidden="1">
      <c r="A94" s="90" t="s">
        <v>62</v>
      </c>
      <c r="B94" s="91" t="s">
        <v>60</v>
      </c>
      <c r="C94" s="128">
        <v>0</v>
      </c>
      <c r="D94" s="141">
        <f>88.75*0.8</f>
        <v>71</v>
      </c>
      <c r="E94" s="137">
        <f t="shared" si="5"/>
        <v>0</v>
      </c>
      <c r="F94" s="29"/>
    </row>
    <row r="95" spans="4:6" s="1" customFormat="1" ht="13.5" hidden="1">
      <c r="D95" s="103" t="s">
        <v>63</v>
      </c>
      <c r="E95" s="104">
        <f>E73</f>
        <v>0.409090909090909</v>
      </c>
      <c r="F95" s="131">
        <f>SUM(E93:E94)*E95</f>
        <v>0</v>
      </c>
    </row>
    <row r="96" spans="4:6" s="1" customFormat="1" ht="12.75" hidden="1">
      <c r="D96" s="103"/>
      <c r="E96" s="107"/>
      <c r="F96" s="140"/>
    </row>
    <row r="97" spans="1:7" ht="12.75">
      <c r="A97" s="1" t="s">
        <v>64</v>
      </c>
      <c r="F97" s="29"/>
      <c r="G97" s="1"/>
    </row>
    <row r="98" spans="1:6" s="1" customFormat="1" ht="12.75">
      <c r="A98" s="82" t="s">
        <v>32</v>
      </c>
      <c r="B98" s="83" t="s">
        <v>33</v>
      </c>
      <c r="C98" s="83" t="s">
        <v>22</v>
      </c>
      <c r="D98" s="84" t="s">
        <v>34</v>
      </c>
      <c r="E98" s="84" t="s">
        <v>35</v>
      </c>
      <c r="F98" s="85" t="s">
        <v>36</v>
      </c>
    </row>
    <row r="99" spans="1:6" s="1" customFormat="1" ht="12.75">
      <c r="A99" s="90" t="s">
        <v>59</v>
      </c>
      <c r="B99" s="91" t="s">
        <v>60</v>
      </c>
      <c r="C99" s="133">
        <f>C87</f>
        <v>1</v>
      </c>
      <c r="D99" s="134">
        <v>15.62</v>
      </c>
      <c r="E99" s="135">
        <f>C99*D99</f>
        <v>15.62</v>
      </c>
      <c r="F99" s="29"/>
    </row>
    <row r="100" spans="1:6" s="1" customFormat="1" ht="13.5" hidden="1">
      <c r="A100" s="90" t="s">
        <v>65</v>
      </c>
      <c r="B100" s="91" t="s">
        <v>60</v>
      </c>
      <c r="C100" s="133">
        <v>0</v>
      </c>
      <c r="D100" s="134">
        <v>0</v>
      </c>
      <c r="E100" s="135"/>
      <c r="F100" s="29"/>
    </row>
    <row r="101" spans="1:6" s="1" customFormat="1" ht="12.75">
      <c r="A101" s="136"/>
      <c r="B101" s="136"/>
      <c r="D101" s="103" t="s">
        <v>46</v>
      </c>
      <c r="E101" s="137">
        <v>1</v>
      </c>
      <c r="F101" s="138">
        <f>SUM(E99:E100)*E101</f>
        <v>15.62</v>
      </c>
    </row>
    <row r="102" spans="1:7" ht="12.75">
      <c r="A102" s="139"/>
      <c r="B102" s="139"/>
      <c r="D102" s="103"/>
      <c r="F102" s="140"/>
      <c r="G102" s="1"/>
    </row>
    <row r="103" spans="1:8" s="1" customFormat="1" ht="12.75">
      <c r="A103" s="142" t="s">
        <v>66</v>
      </c>
      <c r="B103" s="143"/>
      <c r="C103" s="143"/>
      <c r="D103" s="144"/>
      <c r="E103" s="145"/>
      <c r="F103" s="146">
        <f>F61+F73+F83+F89+F95+F101</f>
        <v>1819.8038</v>
      </c>
      <c r="H103" s="147"/>
    </row>
    <row r="104" ht="15" customHeight="1"/>
    <row r="105" spans="1:7" ht="12.75">
      <c r="A105" s="30" t="s">
        <v>67</v>
      </c>
      <c r="G105" s="1"/>
    </row>
    <row r="106" spans="1:7" ht="13.5" customHeight="1">
      <c r="A106" s="1" t="s">
        <v>68</v>
      </c>
      <c r="G106" s="1"/>
    </row>
    <row r="107" spans="1:6" s="1" customFormat="1" ht="27.75" customHeight="1">
      <c r="A107" s="82" t="s">
        <v>32</v>
      </c>
      <c r="B107" s="83" t="s">
        <v>33</v>
      </c>
      <c r="C107" s="148" t="s">
        <v>69</v>
      </c>
      <c r="D107" s="84" t="s">
        <v>34</v>
      </c>
      <c r="E107" s="84" t="s">
        <v>35</v>
      </c>
      <c r="F107" s="85" t="s">
        <v>36</v>
      </c>
    </row>
    <row r="108" spans="1:7" ht="12.75" customHeight="1">
      <c r="A108" s="86" t="s">
        <v>70</v>
      </c>
      <c r="B108" s="87" t="s">
        <v>60</v>
      </c>
      <c r="C108" s="149">
        <v>12</v>
      </c>
      <c r="D108" s="150">
        <v>110</v>
      </c>
      <c r="E108" s="110">
        <f aca="true" t="shared" si="6" ref="E108:E115">_xlfn.IFERROR(D108/C108,0)</f>
        <v>9.16666666666667</v>
      </c>
      <c r="G108" s="1"/>
    </row>
    <row r="109" spans="1:7" ht="12.75" customHeight="1">
      <c r="A109" s="90" t="s">
        <v>71</v>
      </c>
      <c r="B109" s="91" t="s">
        <v>60</v>
      </c>
      <c r="C109" s="149">
        <v>12</v>
      </c>
      <c r="D109" s="150">
        <v>52</v>
      </c>
      <c r="E109" s="110">
        <f t="shared" si="6"/>
        <v>4.333333333333333</v>
      </c>
      <c r="G109" s="1"/>
    </row>
    <row r="110" spans="1:7" ht="12.75">
      <c r="A110" s="90" t="s">
        <v>72</v>
      </c>
      <c r="B110" s="91" t="s">
        <v>60</v>
      </c>
      <c r="C110" s="149">
        <v>4</v>
      </c>
      <c r="D110" s="150">
        <v>20</v>
      </c>
      <c r="E110" s="110">
        <f t="shared" si="6"/>
        <v>5</v>
      </c>
      <c r="G110" s="1"/>
    </row>
    <row r="111" spans="1:7" ht="13.5" customHeight="1">
      <c r="A111" s="90" t="s">
        <v>73</v>
      </c>
      <c r="B111" s="91" t="s">
        <v>74</v>
      </c>
      <c r="C111" s="149">
        <v>12</v>
      </c>
      <c r="D111" s="150">
        <v>69.9</v>
      </c>
      <c r="E111" s="110">
        <f t="shared" si="6"/>
        <v>5.825</v>
      </c>
      <c r="G111" s="1"/>
    </row>
    <row r="112" spans="1:7" ht="13.5" customHeight="1">
      <c r="A112" s="90" t="s">
        <v>75</v>
      </c>
      <c r="B112" s="91" t="s">
        <v>60</v>
      </c>
      <c r="C112" s="149">
        <v>6</v>
      </c>
      <c r="D112" s="150">
        <v>18</v>
      </c>
      <c r="E112" s="110">
        <f t="shared" si="6"/>
        <v>3</v>
      </c>
      <c r="G112" s="1"/>
    </row>
    <row r="113" spans="1:7" ht="13.5" customHeight="1">
      <c r="A113" s="151" t="s">
        <v>76</v>
      </c>
      <c r="B113" s="152" t="s">
        <v>60</v>
      </c>
      <c r="C113" s="149">
        <v>6</v>
      </c>
      <c r="D113" s="150">
        <v>20</v>
      </c>
      <c r="E113" s="110">
        <f t="shared" si="6"/>
        <v>3.3333333333333335</v>
      </c>
      <c r="G113" s="1"/>
    </row>
    <row r="114" spans="1:7" ht="13.5" customHeight="1">
      <c r="A114" s="90" t="s">
        <v>77</v>
      </c>
      <c r="B114" s="91" t="s">
        <v>74</v>
      </c>
      <c r="C114" s="149">
        <v>2</v>
      </c>
      <c r="D114" s="150">
        <v>10</v>
      </c>
      <c r="E114" s="110">
        <f t="shared" si="6"/>
        <v>5</v>
      </c>
      <c r="G114" s="1"/>
    </row>
    <row r="115" spans="1:7" ht="13.5" customHeight="1">
      <c r="A115" s="90" t="s">
        <v>78</v>
      </c>
      <c r="B115" s="91" t="s">
        <v>79</v>
      </c>
      <c r="C115" s="149">
        <v>3</v>
      </c>
      <c r="D115" s="150">
        <v>20</v>
      </c>
      <c r="E115" s="110">
        <f t="shared" si="6"/>
        <v>6.666666666666667</v>
      </c>
      <c r="G115" s="1"/>
    </row>
    <row r="116" spans="1:5" ht="12.75">
      <c r="A116" s="153" t="s">
        <v>80</v>
      </c>
      <c r="B116" s="153"/>
      <c r="C116" s="154">
        <f>E41</f>
        <v>1</v>
      </c>
      <c r="D116" s="112">
        <f>+SUM(E108:E115)</f>
        <v>42.325</v>
      </c>
      <c r="E116" s="112">
        <f>C116*D116</f>
        <v>42.325</v>
      </c>
    </row>
    <row r="117" spans="4:6" ht="12.75">
      <c r="D117" s="103" t="s">
        <v>46</v>
      </c>
      <c r="E117" s="104">
        <f>$B$50</f>
        <v>0.409090909090909</v>
      </c>
      <c r="F117" s="118">
        <f>E116*E117</f>
        <v>17.3147727272727</v>
      </c>
    </row>
    <row r="118" ht="11.25" customHeight="1">
      <c r="G118" s="1"/>
    </row>
    <row r="119" spans="1:6" s="1" customFormat="1" ht="12.75">
      <c r="A119" s="142" t="s">
        <v>81</v>
      </c>
      <c r="B119" s="155"/>
      <c r="C119" s="155"/>
      <c r="D119" s="156"/>
      <c r="E119" s="157"/>
      <c r="F119" s="158">
        <f>+F117</f>
        <v>17.3147727272727</v>
      </c>
    </row>
    <row r="120" ht="11.25" customHeight="1">
      <c r="G120" s="1"/>
    </row>
    <row r="121" spans="1:6" s="1" customFormat="1" ht="11.25" customHeight="1">
      <c r="A121" s="79" t="s">
        <v>82</v>
      </c>
      <c r="B121" s="79"/>
      <c r="C121" s="79"/>
      <c r="D121" s="29"/>
      <c r="E121" s="29"/>
      <c r="F121" s="119"/>
    </row>
    <row r="122" spans="1:6" s="1" customFormat="1" ht="12.75" customHeight="1">
      <c r="A122" s="82" t="s">
        <v>32</v>
      </c>
      <c r="B122" s="83" t="s">
        <v>33</v>
      </c>
      <c r="C122" s="83" t="s">
        <v>22</v>
      </c>
      <c r="D122" s="84" t="s">
        <v>34</v>
      </c>
      <c r="E122" s="84" t="s">
        <v>35</v>
      </c>
      <c r="F122" s="85" t="s">
        <v>36</v>
      </c>
    </row>
    <row r="123" spans="1:6" s="1" customFormat="1" ht="12.75" customHeight="1">
      <c r="A123" s="90" t="s">
        <v>83</v>
      </c>
      <c r="B123" s="91" t="s">
        <v>84</v>
      </c>
      <c r="C123" s="149">
        <v>949</v>
      </c>
      <c r="D123" s="109">
        <v>0.75</v>
      </c>
      <c r="E123" s="126">
        <f aca="true" t="shared" si="7" ref="E123:E124">C123*D123</f>
        <v>711.75</v>
      </c>
      <c r="F123" s="159"/>
    </row>
    <row r="124" spans="1:6" s="1" customFormat="1" ht="12.75" customHeight="1">
      <c r="A124" s="90" t="s">
        <v>85</v>
      </c>
      <c r="B124" s="91" t="s">
        <v>84</v>
      </c>
      <c r="C124" s="149">
        <v>351</v>
      </c>
      <c r="D124" s="109">
        <v>0.64</v>
      </c>
      <c r="E124" s="126">
        <f t="shared" si="7"/>
        <v>224.64000000000001</v>
      </c>
      <c r="F124" s="159"/>
    </row>
    <row r="125" spans="1:6" s="1" customFormat="1" ht="12.75" customHeight="1">
      <c r="A125" s="79"/>
      <c r="B125" s="79"/>
      <c r="C125" s="79"/>
      <c r="D125" s="79"/>
      <c r="E125" s="29"/>
      <c r="F125" s="160">
        <f>SUM(E123:E124)</f>
        <v>936.39</v>
      </c>
    </row>
    <row r="126" ht="11.25" customHeight="1">
      <c r="G126" s="1"/>
    </row>
    <row r="127" spans="1:6" s="1" customFormat="1" ht="11.25" customHeight="1">
      <c r="A127" s="161" t="s">
        <v>86</v>
      </c>
      <c r="B127" s="162"/>
      <c r="C127" s="162"/>
      <c r="D127" s="45"/>
      <c r="E127" s="163"/>
      <c r="F127" s="160">
        <f>+F125</f>
        <v>936.39</v>
      </c>
    </row>
    <row r="128" ht="11.25" customHeight="1">
      <c r="G128" s="1"/>
    </row>
    <row r="129" spans="1:7" ht="11.25" customHeight="1" hidden="1">
      <c r="A129" s="30" t="s">
        <v>87</v>
      </c>
      <c r="G129" s="1"/>
    </row>
    <row r="130" ht="11.25" customHeight="1" hidden="1">
      <c r="G130" s="1"/>
    </row>
    <row r="131" spans="1:6" s="1" customFormat="1" ht="11.25" customHeight="1" hidden="1">
      <c r="A131" s="82" t="s">
        <v>32</v>
      </c>
      <c r="B131" s="83" t="s">
        <v>33</v>
      </c>
      <c r="C131" s="83" t="s">
        <v>22</v>
      </c>
      <c r="D131" s="84" t="s">
        <v>34</v>
      </c>
      <c r="E131" s="84" t="s">
        <v>35</v>
      </c>
      <c r="F131" s="85" t="s">
        <v>36</v>
      </c>
    </row>
    <row r="132" spans="1:7" ht="11.25" customHeight="1" hidden="1">
      <c r="A132" s="86" t="s">
        <v>88</v>
      </c>
      <c r="B132" s="87" t="s">
        <v>89</v>
      </c>
      <c r="C132" s="124">
        <v>0</v>
      </c>
      <c r="D132" s="109">
        <v>1.9</v>
      </c>
      <c r="E132" s="129">
        <f>C132*D132</f>
        <v>0</v>
      </c>
      <c r="G132" s="1"/>
    </row>
    <row r="133" spans="1:7" ht="11.25" customHeight="1" hidden="1">
      <c r="A133" s="86"/>
      <c r="B133" s="87"/>
      <c r="C133" s="164"/>
      <c r="D133" s="109"/>
      <c r="E133" s="129"/>
      <c r="G133" s="1"/>
    </row>
    <row r="134" spans="1:6" s="1" customFormat="1" ht="11.25" customHeight="1" hidden="1">
      <c r="A134" s="90"/>
      <c r="B134" s="165"/>
      <c r="C134" s="164"/>
      <c r="D134" s="109"/>
      <c r="E134" s="129"/>
      <c r="F134" s="159"/>
    </row>
    <row r="135" spans="1:6" s="1" customFormat="1" ht="11.25" customHeight="1" hidden="1">
      <c r="A135" s="166"/>
      <c r="B135" s="166"/>
      <c r="C135" s="166"/>
      <c r="D135" s="103" t="s">
        <v>63</v>
      </c>
      <c r="E135" s="137">
        <v>1</v>
      </c>
      <c r="F135" s="167">
        <f>SUM(E132:E134)</f>
        <v>0</v>
      </c>
    </row>
    <row r="136" ht="11.25" customHeight="1" hidden="1">
      <c r="G136" s="1"/>
    </row>
    <row r="137" ht="11.25" customHeight="1" hidden="1">
      <c r="G137" s="1"/>
    </row>
    <row r="138" spans="1:6" s="1" customFormat="1" ht="11.25" customHeight="1">
      <c r="A138" s="161" t="s">
        <v>90</v>
      </c>
      <c r="B138" s="168"/>
      <c r="C138" s="168"/>
      <c r="D138" s="169"/>
      <c r="E138" s="170"/>
      <c r="F138" s="131">
        <f>F103+F119+F127+F135</f>
        <v>2773.50857272727</v>
      </c>
    </row>
    <row r="139" ht="11.25" customHeight="1">
      <c r="G139" s="1"/>
    </row>
    <row r="140" spans="1:6" ht="13.5">
      <c r="A140" s="79" t="s">
        <v>91</v>
      </c>
      <c r="B140" s="79"/>
      <c r="C140" s="79"/>
      <c r="D140" s="29"/>
      <c r="E140" s="29"/>
      <c r="F140" s="119"/>
    </row>
    <row r="141" spans="1:6" ht="12.75">
      <c r="A141" s="171" t="s">
        <v>32</v>
      </c>
      <c r="B141" s="172" t="s">
        <v>33</v>
      </c>
      <c r="C141" s="172" t="s">
        <v>22</v>
      </c>
      <c r="D141" s="173" t="s">
        <v>34</v>
      </c>
      <c r="E141" s="173" t="s">
        <v>35</v>
      </c>
      <c r="F141" s="174" t="s">
        <v>36</v>
      </c>
    </row>
    <row r="142" spans="1:6" ht="12.75">
      <c r="A142" s="175" t="s">
        <v>92</v>
      </c>
      <c r="B142" s="176" t="s">
        <v>15</v>
      </c>
      <c r="C142" s="177">
        <f>'4.BDI'!C17</f>
        <v>0.2474</v>
      </c>
      <c r="D142" s="178">
        <f>F138</f>
        <v>2773.50857272727</v>
      </c>
      <c r="E142" s="178">
        <f>D142*C142</f>
        <v>686.166020892727</v>
      </c>
      <c r="F142" s="179"/>
    </row>
    <row r="143" spans="1:6" ht="13.5">
      <c r="A143" s="180"/>
      <c r="B143" s="180"/>
      <c r="C143" s="180"/>
      <c r="D143" s="180"/>
      <c r="E143" s="180"/>
      <c r="F143" s="181"/>
    </row>
    <row r="144" spans="1:6" ht="13.5">
      <c r="A144" s="182" t="s">
        <v>93</v>
      </c>
      <c r="B144" s="182"/>
      <c r="C144" s="182"/>
      <c r="D144" s="182"/>
      <c r="E144" s="182"/>
      <c r="F144" s="158">
        <f>E142</f>
        <v>686.166020892727</v>
      </c>
    </row>
    <row r="145" ht="11.25" customHeight="1"/>
    <row r="146" spans="1:6" ht="24.75" customHeight="1">
      <c r="A146" s="161" t="s">
        <v>94</v>
      </c>
      <c r="B146" s="168"/>
      <c r="C146" s="168"/>
      <c r="D146" s="169"/>
      <c r="E146" s="170"/>
      <c r="F146" s="138">
        <f>F103+F119+F127+F144+F135</f>
        <v>3459.67459362</v>
      </c>
    </row>
    <row r="147" spans="1:6" ht="13.5" customHeight="1">
      <c r="A147" s="79"/>
      <c r="B147" s="6"/>
      <c r="C147" s="6"/>
      <c r="F147" s="183"/>
    </row>
    <row r="148" spans="1:6" ht="13.5" customHeight="1">
      <c r="A148" s="161" t="s">
        <v>95</v>
      </c>
      <c r="B148" s="168"/>
      <c r="C148" s="168"/>
      <c r="D148" s="169"/>
      <c r="E148" s="170"/>
      <c r="F148" s="138">
        <f>F146/C116</f>
        <v>3459.67459362</v>
      </c>
    </row>
    <row r="149" spans="1:7" ht="12" customHeight="1">
      <c r="A149" s="184"/>
      <c r="B149" s="184"/>
      <c r="C149" s="184"/>
      <c r="D149" s="185"/>
      <c r="E149" s="185"/>
      <c r="F149" s="185"/>
      <c r="G149" s="121"/>
    </row>
    <row r="150" spans="1:6" ht="12.75">
      <c r="A150" s="30" t="s">
        <v>96</v>
      </c>
      <c r="F150" s="2">
        <f>2703.39*1.0213</f>
        <v>2760.972207</v>
      </c>
    </row>
    <row r="151" ht="12.75">
      <c r="F151" s="186">
        <f>F146/F150-1</f>
        <v>0.25306389714773403</v>
      </c>
    </row>
    <row r="152" ht="12.75">
      <c r="F152" s="2">
        <f>F146-F150</f>
        <v>698.702386619999</v>
      </c>
    </row>
    <row r="177" ht="9" customHeight="1"/>
  </sheetData>
  <sheetProtection selectLockedCells="1" selectUnlockedCells="1"/>
  <mergeCells count="12">
    <mergeCell ref="A12:F12"/>
    <mergeCell ref="A13:F14"/>
    <mergeCell ref="A15:F15"/>
    <mergeCell ref="A17:F17"/>
    <mergeCell ref="A26:C26"/>
    <mergeCell ref="A39:E39"/>
    <mergeCell ref="A40:D40"/>
    <mergeCell ref="A53:F53"/>
    <mergeCell ref="A62:D63"/>
    <mergeCell ref="A73:C73"/>
    <mergeCell ref="A116:B116"/>
    <mergeCell ref="A144:E144"/>
  </mergeCells>
  <printOptions horizontalCentered="1"/>
  <pageMargins left="0.9055555555555556" right="0.7083333333333334" top="0.7479166666666667" bottom="0.5513888888888889" header="0.5118055555555555" footer="0.31527777777777777"/>
  <pageSetup fitToHeight="2" fitToWidth="1" horizontalDpi="300" verticalDpi="300" orientation="portrait" paperSize="9"/>
  <headerFooter alignWithMargins="0">
    <oddFooter>&amp;R&amp;P de &amp;N</oddFooter>
  </headerFooter>
  <rowBreaks count="1" manualBreakCount="1">
    <brk id="5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9">
      <selection activeCell="A1" sqref="A1"/>
    </sheetView>
  </sheetViews>
  <sheetFormatPr defaultColWidth="8.00390625" defaultRowHeight="12.75"/>
  <cols>
    <col min="1" max="1" width="13.57421875" style="187" customWidth="1"/>
    <col min="2" max="2" width="42.7109375" style="187" customWidth="1"/>
    <col min="3" max="3" width="14.57421875" style="187" customWidth="1"/>
    <col min="4" max="9" width="9.140625" style="187" customWidth="1"/>
    <col min="10" max="10" width="11.00390625" style="187" customWidth="1"/>
    <col min="11" max="16384" width="9.140625" style="187" customWidth="1"/>
  </cols>
  <sheetData>
    <row r="1" ht="12.75">
      <c r="A1" s="30" t="s">
        <v>0</v>
      </c>
    </row>
    <row r="2" ht="12.75">
      <c r="A2" s="188" t="s">
        <v>97</v>
      </c>
    </row>
    <row r="3" ht="13.5"/>
    <row r="4" spans="1:5" ht="18">
      <c r="A4" s="189" t="s">
        <v>98</v>
      </c>
      <c r="B4" s="189"/>
      <c r="C4" s="189"/>
      <c r="D4" s="190"/>
      <c r="E4" s="190"/>
    </row>
    <row r="5" spans="1:3" ht="14.25">
      <c r="A5" s="191" t="s">
        <v>99</v>
      </c>
      <c r="B5" s="192" t="s">
        <v>100</v>
      </c>
      <c r="C5" s="193" t="s">
        <v>101</v>
      </c>
    </row>
    <row r="6" spans="1:11" ht="14.25">
      <c r="A6" s="191" t="s">
        <v>102</v>
      </c>
      <c r="B6" s="192" t="s">
        <v>103</v>
      </c>
      <c r="C6" s="194">
        <v>0.2</v>
      </c>
      <c r="E6" s="195"/>
      <c r="F6" s="195"/>
      <c r="G6" s="195"/>
      <c r="H6" s="195"/>
      <c r="I6" s="195"/>
      <c r="J6" s="195"/>
      <c r="K6" s="195"/>
    </row>
    <row r="7" spans="1:11" ht="14.25">
      <c r="A7" s="191" t="s">
        <v>104</v>
      </c>
      <c r="B7" s="192" t="s">
        <v>105</v>
      </c>
      <c r="C7" s="194">
        <v>0.015</v>
      </c>
      <c r="E7" s="195"/>
      <c r="F7" s="195"/>
      <c r="G7" s="195"/>
      <c r="H7" s="195"/>
      <c r="I7" s="195"/>
      <c r="J7" s="195"/>
      <c r="K7" s="195"/>
    </row>
    <row r="8" spans="1:11" ht="14.25">
      <c r="A8" s="191" t="s">
        <v>106</v>
      </c>
      <c r="B8" s="192" t="s">
        <v>107</v>
      </c>
      <c r="C8" s="194">
        <v>0.01</v>
      </c>
      <c r="E8" s="195"/>
      <c r="F8" s="195"/>
      <c r="G8" s="195"/>
      <c r="H8" s="195"/>
      <c r="I8" s="195"/>
      <c r="J8" s="195"/>
      <c r="K8" s="195"/>
    </row>
    <row r="9" spans="1:11" ht="14.25">
      <c r="A9" s="191" t="s">
        <v>108</v>
      </c>
      <c r="B9" s="192" t="s">
        <v>109</v>
      </c>
      <c r="C9" s="194">
        <v>0.002</v>
      </c>
      <c r="E9" s="195"/>
      <c r="F9" s="195"/>
      <c r="G9" s="195"/>
      <c r="H9" s="195"/>
      <c r="I9" s="195"/>
      <c r="J9" s="195"/>
      <c r="K9" s="195"/>
    </row>
    <row r="10" spans="1:11" ht="14.25">
      <c r="A10" s="191" t="s">
        <v>110</v>
      </c>
      <c r="B10" s="192" t="s">
        <v>111</v>
      </c>
      <c r="C10" s="194">
        <v>0.006</v>
      </c>
      <c r="E10" s="195"/>
      <c r="F10" s="195"/>
      <c r="G10" s="195"/>
      <c r="H10" s="195"/>
      <c r="I10" s="195"/>
      <c r="J10" s="195"/>
      <c r="K10" s="195"/>
    </row>
    <row r="11" spans="1:11" ht="14.25">
      <c r="A11" s="191" t="s">
        <v>112</v>
      </c>
      <c r="B11" s="192" t="s">
        <v>113</v>
      </c>
      <c r="C11" s="194">
        <v>0.025</v>
      </c>
      <c r="E11" s="195"/>
      <c r="F11" s="195"/>
      <c r="G11" s="195"/>
      <c r="H11" s="195"/>
      <c r="I11" s="195"/>
      <c r="J11" s="195"/>
      <c r="K11" s="195"/>
    </row>
    <row r="12" spans="1:11" ht="14.25">
      <c r="A12" s="191" t="s">
        <v>114</v>
      </c>
      <c r="B12" s="192" t="s">
        <v>115</v>
      </c>
      <c r="C12" s="194">
        <v>0.03</v>
      </c>
      <c r="E12" s="195"/>
      <c r="F12" s="195"/>
      <c r="G12" s="195"/>
      <c r="H12" s="195"/>
      <c r="I12" s="195"/>
      <c r="J12" s="195"/>
      <c r="K12" s="195"/>
    </row>
    <row r="13" spans="1:11" ht="14.25">
      <c r="A13" s="191" t="s">
        <v>116</v>
      </c>
      <c r="B13" s="192" t="s">
        <v>117</v>
      </c>
      <c r="C13" s="194">
        <v>0.08</v>
      </c>
      <c r="E13" s="195"/>
      <c r="F13" s="195"/>
      <c r="G13" s="195"/>
      <c r="H13" s="195"/>
      <c r="I13" s="195"/>
      <c r="J13" s="195"/>
      <c r="K13" s="195"/>
    </row>
    <row r="14" spans="1:11" ht="15">
      <c r="A14" s="191" t="s">
        <v>118</v>
      </c>
      <c r="B14" s="196" t="s">
        <v>119</v>
      </c>
      <c r="C14" s="197">
        <f>SUM(C6:C13)</f>
        <v>0.368</v>
      </c>
      <c r="E14" s="195"/>
      <c r="F14" s="195"/>
      <c r="G14" s="195"/>
      <c r="H14" s="195"/>
      <c r="I14" s="195"/>
      <c r="J14" s="195"/>
      <c r="K14" s="195"/>
    </row>
    <row r="15" spans="1:11" ht="15">
      <c r="A15" s="198"/>
      <c r="B15" s="199"/>
      <c r="C15" s="200"/>
      <c r="E15" s="195"/>
      <c r="F15" s="195"/>
      <c r="G15" s="195"/>
      <c r="H15" s="195"/>
      <c r="I15" s="195"/>
      <c r="J15" s="195"/>
      <c r="K15" s="195"/>
    </row>
    <row r="16" spans="1:11" ht="14.25">
      <c r="A16" s="191" t="s">
        <v>120</v>
      </c>
      <c r="B16" s="192" t="s">
        <v>121</v>
      </c>
      <c r="C16" s="194">
        <f>ROUND(IF('3.CAGED'!C39&gt;24,(1-12/'3.CAGED'!C39)*0.1111,0.1111-C25),4)</f>
        <v>0.060500000000000005</v>
      </c>
      <c r="E16" s="195"/>
      <c r="F16" s="195"/>
      <c r="G16" s="195"/>
      <c r="H16" s="195"/>
      <c r="I16" s="195"/>
      <c r="J16" s="195"/>
      <c r="K16" s="195"/>
    </row>
    <row r="17" spans="1:11" ht="14.25">
      <c r="A17" s="191" t="s">
        <v>122</v>
      </c>
      <c r="B17" s="192" t="s">
        <v>123</v>
      </c>
      <c r="C17" s="194">
        <f>ROUND('3.CAGED'!C33/'3.CAGED'!C30,4)</f>
        <v>0.0833</v>
      </c>
      <c r="E17" s="195"/>
      <c r="F17" s="195"/>
      <c r="G17" s="195"/>
      <c r="H17" s="195"/>
      <c r="I17" s="195"/>
      <c r="J17" s="195"/>
      <c r="K17" s="195"/>
    </row>
    <row r="18" spans="1:11" ht="14.25">
      <c r="A18" s="191" t="s">
        <v>124</v>
      </c>
      <c r="B18" s="192" t="s">
        <v>125</v>
      </c>
      <c r="C18" s="194">
        <v>0.0006000000000000001</v>
      </c>
      <c r="E18" s="195"/>
      <c r="F18" s="195"/>
      <c r="G18" s="195"/>
      <c r="H18" s="195"/>
      <c r="I18" s="195"/>
      <c r="J18" s="195"/>
      <c r="K18" s="195"/>
    </row>
    <row r="19" spans="1:11" ht="14.25">
      <c r="A19" s="191" t="s">
        <v>126</v>
      </c>
      <c r="B19" s="192" t="s">
        <v>127</v>
      </c>
      <c r="C19" s="194">
        <v>0.005</v>
      </c>
      <c r="E19" s="195"/>
      <c r="F19" s="195"/>
      <c r="G19" s="195"/>
      <c r="H19" s="195"/>
      <c r="I19" s="195"/>
      <c r="J19" s="195"/>
      <c r="K19" s="195"/>
    </row>
    <row r="20" spans="1:11" ht="15" customHeight="1">
      <c r="A20" s="191" t="s">
        <v>128</v>
      </c>
      <c r="B20" s="192" t="s">
        <v>129</v>
      </c>
      <c r="C20" s="194">
        <v>0.0031000000000000003</v>
      </c>
      <c r="E20" s="195"/>
      <c r="F20" s="195"/>
      <c r="G20" s="195"/>
      <c r="H20" s="195"/>
      <c r="I20" s="195"/>
      <c r="J20" s="195"/>
      <c r="K20" s="195"/>
    </row>
    <row r="21" spans="1:11" ht="14.25">
      <c r="A21" s="191" t="s">
        <v>130</v>
      </c>
      <c r="B21" s="192" t="s">
        <v>131</v>
      </c>
      <c r="C21" s="194">
        <v>0.005</v>
      </c>
      <c r="E21" s="195"/>
      <c r="F21" s="195"/>
      <c r="G21" s="195"/>
      <c r="H21" s="195"/>
      <c r="I21" s="195"/>
      <c r="J21" s="195"/>
      <c r="K21" s="195"/>
    </row>
    <row r="22" spans="1:11" ht="15">
      <c r="A22" s="191" t="s">
        <v>132</v>
      </c>
      <c r="B22" s="196" t="s">
        <v>133</v>
      </c>
      <c r="C22" s="197">
        <f>SUM(C16:C21)</f>
        <v>0.1575</v>
      </c>
      <c r="E22" s="195"/>
      <c r="F22" s="195"/>
      <c r="G22" s="195"/>
      <c r="H22" s="195"/>
      <c r="I22" s="195"/>
      <c r="J22" s="195"/>
      <c r="K22" s="195"/>
    </row>
    <row r="23" spans="1:11" ht="15">
      <c r="A23" s="198"/>
      <c r="B23" s="199"/>
      <c r="C23" s="200"/>
      <c r="E23" s="195"/>
      <c r="F23" s="195"/>
      <c r="G23" s="195"/>
      <c r="H23" s="195"/>
      <c r="I23" s="195"/>
      <c r="J23" s="195"/>
      <c r="K23" s="195"/>
    </row>
    <row r="24" spans="1:11" ht="14.25">
      <c r="A24" s="191" t="s">
        <v>134</v>
      </c>
      <c r="B24" s="192" t="s">
        <v>135</v>
      </c>
      <c r="C24" s="194">
        <v>0.025</v>
      </c>
      <c r="D24" s="201"/>
      <c r="E24" s="195"/>
      <c r="F24" s="195"/>
      <c r="G24" s="195"/>
      <c r="H24" s="195"/>
      <c r="I24" s="195"/>
      <c r="J24" s="195"/>
      <c r="K24" s="195"/>
    </row>
    <row r="25" spans="1:11" ht="14.25">
      <c r="A25" s="191" t="s">
        <v>136</v>
      </c>
      <c r="B25" s="192" t="s">
        <v>137</v>
      </c>
      <c r="C25" s="194">
        <v>0.0506</v>
      </c>
      <c r="E25" s="195"/>
      <c r="F25" s="195"/>
      <c r="G25" s="202"/>
      <c r="H25" s="195"/>
      <c r="I25" s="195"/>
      <c r="J25" s="195"/>
      <c r="K25" s="195"/>
    </row>
    <row r="26" spans="1:11" ht="14.25">
      <c r="A26" s="191" t="s">
        <v>138</v>
      </c>
      <c r="B26" s="192" t="s">
        <v>139</v>
      </c>
      <c r="C26" s="194">
        <v>0.0041</v>
      </c>
      <c r="E26" s="195"/>
      <c r="F26" s="195"/>
      <c r="G26" s="195"/>
      <c r="H26" s="195"/>
      <c r="I26" s="195"/>
      <c r="J26" s="195"/>
      <c r="K26" s="195"/>
    </row>
    <row r="27" spans="1:11" ht="14.25">
      <c r="A27" s="191" t="s">
        <v>140</v>
      </c>
      <c r="B27" s="192" t="s">
        <v>141</v>
      </c>
      <c r="C27" s="194">
        <v>0.025</v>
      </c>
      <c r="E27" s="195"/>
      <c r="F27" s="203"/>
      <c r="G27" s="195"/>
      <c r="H27" s="195"/>
      <c r="I27" s="195"/>
      <c r="J27" s="195"/>
      <c r="K27" s="195"/>
    </row>
    <row r="28" spans="1:11" ht="14.25">
      <c r="A28" s="191" t="s">
        <v>142</v>
      </c>
      <c r="B28" s="192" t="s">
        <v>143</v>
      </c>
      <c r="C28" s="194">
        <v>0.0026000000000000003</v>
      </c>
      <c r="E28" s="195"/>
      <c r="F28" s="195"/>
      <c r="G28" s="195"/>
      <c r="H28" s="195"/>
      <c r="I28" s="195"/>
      <c r="J28" s="195"/>
      <c r="K28" s="195"/>
    </row>
    <row r="29" spans="1:11" ht="15">
      <c r="A29" s="191" t="s">
        <v>144</v>
      </c>
      <c r="B29" s="196" t="s">
        <v>145</v>
      </c>
      <c r="C29" s="197">
        <f>SUM(C24:C28)</f>
        <v>0.1073</v>
      </c>
      <c r="E29" s="195"/>
      <c r="F29" s="195"/>
      <c r="G29" s="195"/>
      <c r="H29" s="195"/>
      <c r="I29" s="195"/>
      <c r="J29" s="195"/>
      <c r="K29" s="195"/>
    </row>
    <row r="30" spans="1:11" ht="15">
      <c r="A30" s="198"/>
      <c r="B30" s="199"/>
      <c r="C30" s="200"/>
      <c r="E30" s="195"/>
      <c r="F30" s="195"/>
      <c r="G30" s="195"/>
      <c r="H30" s="195"/>
      <c r="I30" s="195"/>
      <c r="J30" s="195"/>
      <c r="K30" s="195"/>
    </row>
    <row r="31" spans="1:11" ht="14.25">
      <c r="A31" s="191" t="s">
        <v>146</v>
      </c>
      <c r="B31" s="192" t="s">
        <v>147</v>
      </c>
      <c r="C31" s="194">
        <f>ROUND(C14*C22,4)</f>
        <v>0.058</v>
      </c>
      <c r="E31" s="195"/>
      <c r="F31" s="195"/>
      <c r="G31" s="195"/>
      <c r="H31" s="195"/>
      <c r="I31" s="195"/>
      <c r="J31" s="195"/>
      <c r="K31" s="195"/>
    </row>
    <row r="32" spans="1:11" ht="28.5">
      <c r="A32" s="191" t="s">
        <v>148</v>
      </c>
      <c r="B32" s="204" t="s">
        <v>149</v>
      </c>
      <c r="C32" s="194">
        <f>ROUND((C24*C14),4)</f>
        <v>0.0092</v>
      </c>
      <c r="E32" s="195"/>
      <c r="F32" s="195"/>
      <c r="G32" s="195"/>
      <c r="H32" s="195"/>
      <c r="I32" s="195"/>
      <c r="J32" s="195"/>
      <c r="K32" s="195"/>
    </row>
    <row r="33" spans="1:11" ht="15">
      <c r="A33" s="191" t="s">
        <v>150</v>
      </c>
      <c r="B33" s="196" t="s">
        <v>151</v>
      </c>
      <c r="C33" s="197">
        <f>SUM(C31:C32)</f>
        <v>0.06720000000000001</v>
      </c>
      <c r="E33" s="195"/>
      <c r="F33" s="195"/>
      <c r="G33" s="195"/>
      <c r="H33" s="195"/>
      <c r="I33" s="195"/>
      <c r="J33" s="195"/>
      <c r="K33" s="195"/>
    </row>
    <row r="34" spans="1:11" ht="15.75">
      <c r="A34" s="205"/>
      <c r="B34" s="206" t="s">
        <v>152</v>
      </c>
      <c r="C34" s="207">
        <f>C33+C29+C22+C14</f>
        <v>0.7000000000000001</v>
      </c>
      <c r="E34" s="195"/>
      <c r="F34" s="195"/>
      <c r="G34" s="195"/>
      <c r="H34" s="195"/>
      <c r="I34" s="195"/>
      <c r="J34" s="195"/>
      <c r="K34" s="195"/>
    </row>
    <row r="35" ht="15"/>
    <row r="36" ht="14.25"/>
    <row r="37" ht="14.25"/>
    <row r="38" ht="14.25"/>
    <row r="39" ht="14.25"/>
    <row r="40" ht="15"/>
    <row r="41" ht="15"/>
    <row r="42" ht="16.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6.5"/>
  </sheetData>
  <sheetProtection selectLockedCells="1" selectUnlockedCells="1"/>
  <mergeCells count="1">
    <mergeCell ref="A4:C4"/>
  </mergeCells>
  <printOptions/>
  <pageMargins left="0.9055555555555556" right="0.5118055555555555" top="0.7479166666666667" bottom="0.747916666666666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B18" sqref="B18"/>
    </sheetView>
  </sheetViews>
  <sheetFormatPr defaultColWidth="8.00390625" defaultRowHeight="12.75"/>
  <cols>
    <col min="1" max="1" width="8.57421875" style="187" customWidth="1"/>
    <col min="2" max="2" width="67.140625" style="187" customWidth="1"/>
    <col min="3" max="3" width="13.7109375" style="187" customWidth="1"/>
    <col min="4" max="4" width="10.28125" style="187" hidden="1" customWidth="1"/>
    <col min="5" max="5" width="13.7109375" style="187" hidden="1" customWidth="1"/>
    <col min="6" max="6" width="14.421875" style="187" hidden="1" customWidth="1"/>
    <col min="7" max="7" width="12.7109375" style="187" hidden="1" customWidth="1"/>
    <col min="8" max="8" width="4.421875" style="187" hidden="1" customWidth="1"/>
    <col min="9" max="9" width="6.8515625" style="187" hidden="1" customWidth="1"/>
    <col min="10" max="10" width="3.28125" style="187" hidden="1" customWidth="1"/>
    <col min="11" max="11" width="9.140625" style="187" hidden="1" customWidth="1"/>
    <col min="12" max="16384" width="9.140625" style="187" customWidth="1"/>
  </cols>
  <sheetData>
    <row r="1" ht="12.75">
      <c r="A1" s="208" t="s">
        <v>153</v>
      </c>
    </row>
    <row r="3" ht="12.75">
      <c r="A3" s="187" t="s">
        <v>154</v>
      </c>
    </row>
    <row r="4" ht="12.75">
      <c r="A4" s="187" t="s">
        <v>155</v>
      </c>
    </row>
    <row r="5" spans="1:3" ht="25.5" customHeight="1">
      <c r="A5" s="209" t="s">
        <v>156</v>
      </c>
      <c r="B5" s="209"/>
      <c r="C5" s="209"/>
    </row>
    <row r="6" ht="12.75">
      <c r="A6" s="187" t="s">
        <v>157</v>
      </c>
    </row>
    <row r="7" spans="1:3" ht="26.25" customHeight="1">
      <c r="A7" s="209" t="s">
        <v>158</v>
      </c>
      <c r="B7" s="209"/>
      <c r="C7" s="209"/>
    </row>
    <row r="8" ht="12.75">
      <c r="A8" s="187" t="s">
        <v>159</v>
      </c>
    </row>
    <row r="9" ht="12.75">
      <c r="A9" s="187" t="s">
        <v>160</v>
      </c>
    </row>
    <row r="10" ht="13.5"/>
    <row r="11" spans="2:3" ht="18">
      <c r="B11" s="210" t="s">
        <v>161</v>
      </c>
      <c r="C11" s="210"/>
    </row>
    <row r="12" spans="1:3" ht="12.75">
      <c r="A12" s="195"/>
      <c r="B12" s="211" t="s">
        <v>162</v>
      </c>
      <c r="C12" s="211"/>
    </row>
    <row r="13" spans="1:3" ht="15">
      <c r="A13" s="195"/>
      <c r="B13" s="212" t="s">
        <v>163</v>
      </c>
      <c r="C13" s="213">
        <v>9343</v>
      </c>
    </row>
    <row r="14" spans="1:3" ht="15">
      <c r="A14" s="195"/>
      <c r="B14" s="214" t="s">
        <v>164</v>
      </c>
      <c r="C14" s="213">
        <v>6967</v>
      </c>
    </row>
    <row r="15" spans="1:3" ht="14.25">
      <c r="A15" s="195"/>
      <c r="B15" s="215" t="s">
        <v>165</v>
      </c>
      <c r="C15" s="216">
        <v>156</v>
      </c>
    </row>
    <row r="16" spans="1:3" ht="14.25">
      <c r="A16" s="195"/>
      <c r="B16" s="215" t="s">
        <v>166</v>
      </c>
      <c r="C16" s="216">
        <v>3467</v>
      </c>
    </row>
    <row r="17" spans="1:3" ht="14.25">
      <c r="A17" s="195"/>
      <c r="B17" s="215" t="s">
        <v>167</v>
      </c>
      <c r="C17" s="216">
        <v>1601</v>
      </c>
    </row>
    <row r="18" spans="1:3" ht="14.25">
      <c r="A18" s="195"/>
      <c r="B18" s="215" t="s">
        <v>168</v>
      </c>
      <c r="C18" s="216">
        <v>33</v>
      </c>
    </row>
    <row r="19" spans="1:3" ht="14.25">
      <c r="A19" s="195"/>
      <c r="B19" s="215" t="s">
        <v>169</v>
      </c>
      <c r="C19" s="216">
        <v>1676</v>
      </c>
    </row>
    <row r="20" spans="1:3" ht="14.25">
      <c r="A20" s="195"/>
      <c r="B20" s="215" t="s">
        <v>170</v>
      </c>
      <c r="C20" s="216">
        <v>2</v>
      </c>
    </row>
    <row r="21" spans="1:3" ht="14.25">
      <c r="A21" s="195"/>
      <c r="B21" s="215" t="s">
        <v>171</v>
      </c>
      <c r="C21" s="216">
        <v>23</v>
      </c>
    </row>
    <row r="22" spans="1:3" ht="14.25">
      <c r="A22" s="195"/>
      <c r="B22" s="217" t="s">
        <v>172</v>
      </c>
      <c r="C22" s="218">
        <v>0</v>
      </c>
    </row>
    <row r="23" spans="1:3" ht="15">
      <c r="A23" s="195" t="s">
        <v>173</v>
      </c>
      <c r="B23" s="219" t="s">
        <v>174</v>
      </c>
      <c r="C23" s="220"/>
    </row>
    <row r="24" spans="1:3" ht="14.25">
      <c r="A24" s="195"/>
      <c r="B24" s="221" t="s">
        <v>175</v>
      </c>
      <c r="C24" s="222">
        <v>14087</v>
      </c>
    </row>
    <row r="25" spans="1:3" ht="14.25">
      <c r="A25" s="195"/>
      <c r="B25" s="215" t="s">
        <v>176</v>
      </c>
      <c r="C25" s="216">
        <v>16463</v>
      </c>
    </row>
    <row r="26" spans="2:3" ht="14.25">
      <c r="B26" s="215" t="s">
        <v>177</v>
      </c>
      <c r="C26" s="216">
        <v>2376</v>
      </c>
    </row>
    <row r="27" spans="2:3" ht="14.25">
      <c r="B27" s="223"/>
      <c r="C27" s="224"/>
    </row>
    <row r="28" spans="2:7" ht="15">
      <c r="B28" s="225" t="s">
        <v>178</v>
      </c>
      <c r="C28" s="226">
        <f>MEDIAN(C13,C14)/MEDIAN(C24,C25)</f>
        <v>0.533878887070376</v>
      </c>
      <c r="G28" s="187">
        <f>12/C28</f>
        <v>22.4770079705702</v>
      </c>
    </row>
    <row r="29" spans="2:3" ht="15">
      <c r="B29" s="212" t="s">
        <v>179</v>
      </c>
      <c r="C29" s="226">
        <f>C16/MEDIAN(C24,C25)</f>
        <v>0.226972176759411</v>
      </c>
    </row>
    <row r="30" spans="2:3" ht="15">
      <c r="B30" s="227" t="s">
        <v>180</v>
      </c>
      <c r="C30" s="228">
        <v>360</v>
      </c>
    </row>
    <row r="31" spans="2:3" ht="15">
      <c r="B31" s="212" t="s">
        <v>181</v>
      </c>
      <c r="C31" s="228">
        <v>10</v>
      </c>
    </row>
    <row r="32" spans="2:7" ht="15">
      <c r="B32" s="212" t="s">
        <v>182</v>
      </c>
      <c r="C32" s="228">
        <v>30</v>
      </c>
      <c r="G32" s="187">
        <f>TRUNC(G37)</f>
        <v>10</v>
      </c>
    </row>
    <row r="33" spans="2:3" ht="15">
      <c r="B33" s="212" t="s">
        <v>183</v>
      </c>
      <c r="C33" s="228">
        <v>30</v>
      </c>
    </row>
    <row r="34" spans="2:3" s="208" customFormat="1" ht="15">
      <c r="B34" s="212" t="s">
        <v>184</v>
      </c>
      <c r="C34" s="229">
        <f>MEDIAN(C24,C25)</f>
        <v>15275</v>
      </c>
    </row>
    <row r="35" spans="2:11" s="208" customFormat="1" ht="15">
      <c r="B35" s="212" t="s">
        <v>117</v>
      </c>
      <c r="C35" s="230">
        <v>0.08</v>
      </c>
      <c r="K35" s="208">
        <f>IF(C39&gt;12,C39-12,C39)</f>
        <v>10.4770079705702</v>
      </c>
    </row>
    <row r="36" spans="2:11" s="208" customFormat="1" ht="15">
      <c r="B36" s="212" t="s">
        <v>185</v>
      </c>
      <c r="C36" s="230">
        <v>0.5</v>
      </c>
      <c r="K36" s="208" t="e">
        <f aca="true" t="shared" si="0" ref="K36:K39">#N/A</f>
        <v>#REF!</v>
      </c>
    </row>
    <row r="37" spans="2:11" s="208" customFormat="1" ht="15">
      <c r="B37" s="212" t="s">
        <v>186</v>
      </c>
      <c r="C37" s="231">
        <f>((1/C28)-TRUNC(E37))</f>
        <v>0.8730839975475171</v>
      </c>
      <c r="D37" s="208">
        <f>TRUNC(E37)</f>
        <v>1</v>
      </c>
      <c r="E37" s="208">
        <f>1/C28</f>
        <v>1.87308399754752</v>
      </c>
      <c r="F37" s="208">
        <f>((1/C28)-TRUNC(E37))</f>
        <v>0.8730839975475171</v>
      </c>
      <c r="G37" s="208">
        <f>12*F37</f>
        <v>10.4770079705702</v>
      </c>
      <c r="K37" s="208" t="e">
        <f t="shared" si="0"/>
        <v>#REF!</v>
      </c>
    </row>
    <row r="38" spans="2:11" s="208" customFormat="1" ht="15">
      <c r="B38" s="219" t="s">
        <v>187</v>
      </c>
      <c r="C38" s="232">
        <f>30+D38</f>
        <v>33</v>
      </c>
      <c r="D38" s="208">
        <f>3*D37</f>
        <v>3</v>
      </c>
      <c r="G38" s="208">
        <f>G37/12*40/360</f>
        <v>0.0970093330608352</v>
      </c>
      <c r="K38" s="208" t="e">
        <f t="shared" si="0"/>
        <v>#REF!</v>
      </c>
    </row>
    <row r="39" spans="2:11" s="208" customFormat="1" ht="15.75">
      <c r="B39" s="233" t="s">
        <v>188</v>
      </c>
      <c r="C39" s="234">
        <f>12/C28</f>
        <v>22.4770079705702</v>
      </c>
      <c r="K39" s="208" t="e">
        <f t="shared" si="0"/>
        <v>#REF!</v>
      </c>
    </row>
    <row r="40" ht="12.75">
      <c r="K40" s="187" t="e">
        <f aca="true" t="shared" si="1" ref="K40:K41">IF(K39&gt;12,K39-12,K39)</f>
        <v>#REF!</v>
      </c>
    </row>
    <row r="41" ht="12.75">
      <c r="K41" s="187" t="e">
        <f t="shared" si="1"/>
        <v>#REF!</v>
      </c>
    </row>
  </sheetData>
  <sheetProtection selectLockedCells="1" selectUnlockedCells="1"/>
  <mergeCells count="4">
    <mergeCell ref="A5:C5"/>
    <mergeCell ref="A7:C7"/>
    <mergeCell ref="B11:C11"/>
    <mergeCell ref="B12:C12"/>
  </mergeCells>
  <printOptions/>
  <pageMargins left="0.9055555555555556" right="0.5118055555555555" top="0.7479166666666667" bottom="0.7479166666666667" header="0.5118055555555555" footer="0.5118055555555555"/>
  <pageSetup horizontalDpi="300" verticalDpi="300" orientation="portrait" paperSize="9" scale="98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H25"/>
  <sheetViews>
    <sheetView workbookViewId="0" topLeftCell="A1">
      <selection activeCell="C17" sqref="C17"/>
    </sheetView>
  </sheetViews>
  <sheetFormatPr defaultColWidth="8.00390625" defaultRowHeight="12.75"/>
  <cols>
    <col min="1" max="1" width="42.00390625" style="0" customWidth="1"/>
    <col min="2" max="2" width="5.57421875" style="0" customWidth="1"/>
    <col min="3" max="3" width="9.00390625" style="0" customWidth="1"/>
    <col min="4" max="4" width="9.7109375" style="0" customWidth="1"/>
    <col min="5" max="5" width="8.00390625" style="235" customWidth="1"/>
    <col min="6" max="6" width="9.7109375" style="0" customWidth="1"/>
    <col min="7" max="16384" width="9.00390625" style="0" customWidth="1"/>
  </cols>
  <sheetData>
    <row r="1" spans="1:5" s="237" customFormat="1" ht="14.25">
      <c r="A1" s="30" t="s">
        <v>0</v>
      </c>
      <c r="B1" s="236"/>
      <c r="C1" s="236"/>
      <c r="E1" s="238"/>
    </row>
    <row r="2" spans="1:5" s="237" customFormat="1" ht="14.25">
      <c r="A2" s="188" t="s">
        <v>189</v>
      </c>
      <c r="B2" s="236"/>
      <c r="C2" s="236"/>
      <c r="E2" s="238"/>
    </row>
    <row r="3" spans="1:5" s="237" customFormat="1" ht="14.25">
      <c r="A3" s="1" t="s">
        <v>190</v>
      </c>
      <c r="B3" s="236"/>
      <c r="C3" s="236"/>
      <c r="E3" s="238"/>
    </row>
    <row r="4" spans="1:5" s="237" customFormat="1" ht="14.25">
      <c r="A4" s="188"/>
      <c r="B4" s="236"/>
      <c r="C4" s="236"/>
      <c r="E4" s="238"/>
    </row>
    <row r="5" spans="2:5" s="237" customFormat="1" ht="15">
      <c r="B5" s="236"/>
      <c r="C5" s="236"/>
      <c r="E5" s="238"/>
    </row>
    <row r="6" spans="1:6" ht="16.5">
      <c r="A6" s="239" t="s">
        <v>191</v>
      </c>
      <c r="B6" s="239"/>
      <c r="C6" s="239"/>
      <c r="D6" s="239"/>
      <c r="E6" s="239"/>
      <c r="F6" s="239"/>
    </row>
    <row r="7" spans="1:8" ht="15">
      <c r="A7" s="240"/>
      <c r="B7" s="241"/>
      <c r="C7" s="241"/>
      <c r="D7" s="242" t="s">
        <v>192</v>
      </c>
      <c r="E7" s="242"/>
      <c r="F7" s="242"/>
      <c r="G7" s="237"/>
      <c r="H7" s="237"/>
    </row>
    <row r="8" spans="1:8" ht="15">
      <c r="A8" s="223"/>
      <c r="B8" s="243"/>
      <c r="C8" s="243"/>
      <c r="D8" s="244" t="s">
        <v>193</v>
      </c>
      <c r="E8" s="245" t="s">
        <v>194</v>
      </c>
      <c r="F8" s="246" t="s">
        <v>195</v>
      </c>
      <c r="G8" s="237"/>
      <c r="H8" s="237"/>
    </row>
    <row r="9" spans="1:8" ht="14.25">
      <c r="A9" s="247" t="s">
        <v>196</v>
      </c>
      <c r="B9" s="248" t="s">
        <v>197</v>
      </c>
      <c r="C9" s="249">
        <v>0.05</v>
      </c>
      <c r="D9" s="250">
        <v>0.0297</v>
      </c>
      <c r="E9" s="251">
        <v>0.050800000000000005</v>
      </c>
      <c r="F9" s="252">
        <v>0.0627</v>
      </c>
      <c r="G9" s="237"/>
      <c r="H9" s="237"/>
    </row>
    <row r="10" spans="1:8" ht="14.25">
      <c r="A10" s="253" t="s">
        <v>198</v>
      </c>
      <c r="B10" s="254" t="s">
        <v>199</v>
      </c>
      <c r="C10" s="255">
        <v>0.0086</v>
      </c>
      <c r="D10" s="250">
        <v>0.0086</v>
      </c>
      <c r="E10" s="251">
        <f>"0.48%"+"0.85%"</f>
        <v>0.013300000000000001</v>
      </c>
      <c r="F10" s="252">
        <f>"0.82%"+"0.89%"</f>
        <v>0.0171</v>
      </c>
      <c r="G10" s="237"/>
      <c r="H10" s="237"/>
    </row>
    <row r="11" spans="1:8" ht="14.25">
      <c r="A11" s="253" t="s">
        <v>200</v>
      </c>
      <c r="B11" s="254" t="s">
        <v>201</v>
      </c>
      <c r="C11" s="255">
        <v>0.1</v>
      </c>
      <c r="D11" s="250">
        <v>0.078</v>
      </c>
      <c r="E11" s="251">
        <v>0.1085</v>
      </c>
      <c r="F11" s="252">
        <v>0.1355</v>
      </c>
      <c r="G11" s="237"/>
      <c r="H11" s="237"/>
    </row>
    <row r="12" spans="1:8" ht="14.25">
      <c r="A12" s="253" t="s">
        <v>202</v>
      </c>
      <c r="B12" s="254" t="s">
        <v>203</v>
      </c>
      <c r="C12" s="255">
        <v>0</v>
      </c>
      <c r="D12" s="250" t="s">
        <v>204</v>
      </c>
      <c r="E12" s="256">
        <v>0.03</v>
      </c>
      <c r="F12" s="257"/>
      <c r="G12" s="237"/>
      <c r="H12" s="237"/>
    </row>
    <row r="13" spans="1:8" ht="14.25">
      <c r="A13" s="253" t="s">
        <v>205</v>
      </c>
      <c r="B13" s="258" t="s">
        <v>206</v>
      </c>
      <c r="C13" s="255">
        <v>0.03</v>
      </c>
      <c r="D13" s="259" t="s">
        <v>207</v>
      </c>
      <c r="E13" s="260"/>
      <c r="F13" s="261"/>
      <c r="G13" s="237"/>
      <c r="H13" s="237"/>
    </row>
    <row r="14" spans="1:8" ht="15">
      <c r="A14" s="262" t="s">
        <v>208</v>
      </c>
      <c r="B14" s="258"/>
      <c r="C14" s="263">
        <v>0.036500000000000005</v>
      </c>
      <c r="D14" s="215"/>
      <c r="E14" s="264"/>
      <c r="F14" s="261"/>
      <c r="G14" s="237"/>
      <c r="H14" s="237"/>
    </row>
    <row r="15" spans="1:8" ht="14.25">
      <c r="A15" s="265" t="s">
        <v>209</v>
      </c>
      <c r="B15" s="266"/>
      <c r="C15" s="267"/>
      <c r="D15" s="215"/>
      <c r="E15" s="268"/>
      <c r="F15" s="261"/>
      <c r="G15" s="237"/>
      <c r="H15" s="237"/>
    </row>
    <row r="16" spans="1:8" ht="15">
      <c r="A16" s="269" t="s">
        <v>210</v>
      </c>
      <c r="B16" s="270"/>
      <c r="C16" s="271"/>
      <c r="D16" s="215"/>
      <c r="E16" s="268"/>
      <c r="F16" s="261"/>
      <c r="G16" s="237"/>
      <c r="H16" s="237"/>
    </row>
    <row r="17" spans="1:8" ht="15.75">
      <c r="A17" s="272" t="s">
        <v>211</v>
      </c>
      <c r="B17" s="273"/>
      <c r="C17" s="274">
        <f>ROUND((((1+C9+C10)*(1+C11)*(1+C12))/(1-(C13+C14))-1),4)</f>
        <v>0.2474</v>
      </c>
      <c r="D17" s="275"/>
      <c r="E17" s="276"/>
      <c r="F17" s="277"/>
      <c r="G17" s="237"/>
      <c r="H17" s="237"/>
    </row>
    <row r="18" spans="1:8" ht="14.25">
      <c r="A18" s="237"/>
      <c r="B18" s="237"/>
      <c r="C18" s="237"/>
      <c r="D18" s="237"/>
      <c r="E18" s="238"/>
      <c r="F18" s="237"/>
      <c r="G18" s="237"/>
      <c r="H18" s="237"/>
    </row>
    <row r="19" spans="1:8" ht="14.25">
      <c r="A19" s="278" t="s">
        <v>212</v>
      </c>
      <c r="B19" s="278"/>
      <c r="C19" s="278"/>
      <c r="D19" s="278"/>
      <c r="E19" s="278"/>
      <c r="F19" s="278"/>
      <c r="G19" s="237"/>
      <c r="H19" s="237"/>
    </row>
    <row r="20" spans="1:8" ht="14.25">
      <c r="A20" s="278" t="s">
        <v>213</v>
      </c>
      <c r="B20" s="278"/>
      <c r="C20" s="278"/>
      <c r="D20" s="278"/>
      <c r="E20" s="278"/>
      <c r="F20" s="278"/>
      <c r="G20" s="237"/>
      <c r="H20" s="237"/>
    </row>
    <row r="21" spans="1:8" ht="14.25">
      <c r="A21" s="278" t="s">
        <v>214</v>
      </c>
      <c r="B21" s="278"/>
      <c r="C21" s="278"/>
      <c r="D21" s="278"/>
      <c r="E21" s="278"/>
      <c r="F21" s="278"/>
      <c r="G21" s="237"/>
      <c r="H21" s="237"/>
    </row>
    <row r="22" spans="1:6" ht="14.25">
      <c r="A22" s="278" t="s">
        <v>215</v>
      </c>
      <c r="B22" s="278"/>
      <c r="C22" s="278"/>
      <c r="D22" s="278"/>
      <c r="E22" s="278"/>
      <c r="F22" s="278"/>
    </row>
    <row r="23" spans="1:6" ht="14.25">
      <c r="A23" s="278" t="s">
        <v>216</v>
      </c>
      <c r="B23" s="278"/>
      <c r="C23" s="278"/>
      <c r="D23" s="278"/>
      <c r="E23" s="278"/>
      <c r="F23" s="278"/>
    </row>
    <row r="24" spans="1:6" ht="14.25">
      <c r="A24" s="278" t="s">
        <v>217</v>
      </c>
      <c r="B24" s="278"/>
      <c r="C24" s="278"/>
      <c r="D24" s="278"/>
      <c r="E24" s="278"/>
      <c r="F24" s="278"/>
    </row>
    <row r="25" spans="1:6" ht="14.25">
      <c r="A25" s="278" t="s">
        <v>218</v>
      </c>
      <c r="B25" s="278"/>
      <c r="C25" s="278"/>
      <c r="D25" s="278"/>
      <c r="E25" s="278"/>
      <c r="F25" s="278"/>
    </row>
    <row r="26" ht="14.25"/>
  </sheetData>
  <sheetProtection selectLockedCells="1" selectUnlockedCells="1"/>
  <mergeCells count="10">
    <mergeCell ref="A6:F6"/>
    <mergeCell ref="D7:F7"/>
    <mergeCell ref="B13:B14"/>
    <mergeCell ref="A19:F19"/>
    <mergeCell ref="A20:F20"/>
    <mergeCell ref="A21:F21"/>
    <mergeCell ref="A22:F22"/>
    <mergeCell ref="A23:F23"/>
    <mergeCell ref="A24:F24"/>
    <mergeCell ref="A25:F25"/>
  </mergeCells>
  <printOptions/>
  <pageMargins left="0.9055555555555556" right="0.5118055555555555" top="0.7479166666666667" bottom="0.747916666666666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workbookViewId="0" topLeftCell="A1">
      <selection activeCell="A1" sqref="A1"/>
    </sheetView>
  </sheetViews>
  <sheetFormatPr defaultColWidth="8.00390625" defaultRowHeight="12.75"/>
  <cols>
    <col min="1" max="1" width="8.8515625" style="279" customWidth="1"/>
    <col min="2" max="2" width="21.00390625" style="279" customWidth="1"/>
    <col min="3" max="3" width="23.00390625" style="279" customWidth="1"/>
    <col min="4" max="5" width="8.8515625" style="279" customWidth="1"/>
    <col min="6" max="6" width="13.28125" style="279" customWidth="1"/>
    <col min="7" max="16384" width="8.8515625" style="279" customWidth="1"/>
  </cols>
  <sheetData>
    <row r="1" ht="15.75">
      <c r="A1" s="280" t="s">
        <v>8</v>
      </c>
    </row>
    <row r="2" ht="15">
      <c r="A2" s="281" t="s">
        <v>219</v>
      </c>
    </row>
    <row r="3" ht="15">
      <c r="A3" s="281" t="s">
        <v>220</v>
      </c>
    </row>
    <row r="4" spans="1:6" ht="15">
      <c r="A4" s="282" t="s">
        <v>221</v>
      </c>
      <c r="B4" s="282" t="s">
        <v>222</v>
      </c>
      <c r="C4" s="282" t="s">
        <v>223</v>
      </c>
      <c r="D4" s="282" t="s">
        <v>224</v>
      </c>
      <c r="E4" s="282" t="s">
        <v>225</v>
      </c>
      <c r="F4" s="282" t="s">
        <v>226</v>
      </c>
    </row>
    <row r="5" spans="1:6" ht="15">
      <c r="A5" s="283">
        <v>1</v>
      </c>
      <c r="B5" s="282" t="s">
        <v>59</v>
      </c>
      <c r="C5" s="282" t="s">
        <v>227</v>
      </c>
      <c r="D5" s="284">
        <v>0.33333333333333304</v>
      </c>
      <c r="E5" s="284">
        <v>0.625</v>
      </c>
      <c r="F5" s="284">
        <v>0.25</v>
      </c>
    </row>
    <row r="6" spans="8:12" ht="15">
      <c r="H6" s="285"/>
      <c r="I6" s="285"/>
      <c r="L6" s="285"/>
    </row>
    <row r="7" spans="1:8" ht="15">
      <c r="A7" s="281" t="s">
        <v>228</v>
      </c>
      <c r="H7" s="286"/>
    </row>
    <row r="8" spans="1:8" ht="15">
      <c r="A8" s="287" t="s">
        <v>229</v>
      </c>
      <c r="B8" s="288"/>
      <c r="C8" s="288"/>
      <c r="D8" s="288"/>
      <c r="E8" s="288"/>
      <c r="F8" s="289">
        <v>6</v>
      </c>
      <c r="H8" s="290"/>
    </row>
    <row r="9" spans="1:6" ht="15">
      <c r="A9" s="287" t="s">
        <v>230</v>
      </c>
      <c r="B9" s="288"/>
      <c r="C9" s="288"/>
      <c r="D9" s="288"/>
      <c r="E9" s="288"/>
      <c r="F9" s="291">
        <v>3</v>
      </c>
    </row>
    <row r="10" spans="1:6" ht="15">
      <c r="A10" s="287" t="s">
        <v>231</v>
      </c>
      <c r="B10" s="288"/>
      <c r="C10" s="288"/>
      <c r="D10" s="288"/>
      <c r="E10" s="288"/>
      <c r="F10" s="289">
        <f>F8*F9</f>
        <v>18</v>
      </c>
    </row>
    <row r="11" spans="1:6" ht="15">
      <c r="A11" s="287" t="s">
        <v>232</v>
      </c>
      <c r="B11" s="288"/>
      <c r="C11" s="288"/>
      <c r="D11" s="288"/>
      <c r="E11" s="288"/>
      <c r="F11" s="291">
        <v>6</v>
      </c>
    </row>
    <row r="12" spans="1:6" ht="15">
      <c r="A12" s="287" t="s">
        <v>233</v>
      </c>
      <c r="B12" s="288"/>
      <c r="C12" s="288"/>
      <c r="D12" s="288"/>
      <c r="E12" s="288"/>
      <c r="F12" s="291">
        <v>7</v>
      </c>
    </row>
    <row r="13" spans="1:6" ht="15">
      <c r="A13" s="287" t="s">
        <v>234</v>
      </c>
      <c r="B13" s="288"/>
      <c r="C13" s="288"/>
      <c r="D13" s="288"/>
      <c r="E13" s="288"/>
      <c r="F13" s="289">
        <f>F10/F11</f>
        <v>3</v>
      </c>
    </row>
    <row r="14" spans="1:6" ht="15">
      <c r="A14" s="287" t="s">
        <v>235</v>
      </c>
      <c r="B14" s="288"/>
      <c r="C14" s="288"/>
      <c r="D14" s="288"/>
      <c r="E14" s="288"/>
      <c r="F14" s="291">
        <v>30</v>
      </c>
    </row>
    <row r="15" spans="1:6" ht="15">
      <c r="A15" s="292" t="s">
        <v>236</v>
      </c>
      <c r="B15" s="293"/>
      <c r="C15" s="293"/>
      <c r="D15" s="293"/>
      <c r="E15" s="293"/>
      <c r="F15" s="294">
        <f>F13*F14</f>
        <v>90</v>
      </c>
    </row>
    <row r="16" spans="1:6" ht="15">
      <c r="A16" s="292" t="s">
        <v>237</v>
      </c>
      <c r="B16" s="293"/>
      <c r="C16" s="293"/>
      <c r="D16" s="293"/>
      <c r="E16" s="293"/>
      <c r="F16" s="282">
        <v>220</v>
      </c>
    </row>
    <row r="17" spans="1:6" ht="15">
      <c r="A17" s="292" t="s">
        <v>238</v>
      </c>
      <c r="B17" s="293"/>
      <c r="C17" s="293"/>
      <c r="D17" s="293"/>
      <c r="E17" s="293"/>
      <c r="F17" s="295">
        <f>F15/F16</f>
        <v>0.409090909090909</v>
      </c>
    </row>
  </sheetData>
  <sheetProtection selectLockedCells="1" selectUnlockedCells="1"/>
  <printOptions/>
  <pageMargins left="0.5118055555555555" right="0.5118055555555555" top="0.7875" bottom="0.7875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9">
      <selection activeCell="D43" sqref="D43"/>
    </sheetView>
  </sheetViews>
  <sheetFormatPr defaultColWidth="8.00390625" defaultRowHeight="12.75"/>
  <cols>
    <col min="1" max="1" width="21.00390625" style="0" customWidth="1"/>
    <col min="2" max="2" width="11.140625" style="0" customWidth="1"/>
    <col min="3" max="3" width="15.28125" style="0" customWidth="1"/>
    <col min="4" max="4" width="13.8515625" style="0" customWidth="1"/>
    <col min="5" max="16384" width="9.00390625" style="0" customWidth="1"/>
  </cols>
  <sheetData>
    <row r="1" ht="15.75">
      <c r="A1" s="280" t="s">
        <v>8</v>
      </c>
    </row>
    <row r="2" ht="15">
      <c r="A2" s="281" t="s">
        <v>239</v>
      </c>
    </row>
    <row r="3" ht="15">
      <c r="A3" s="281"/>
    </row>
    <row r="4" spans="1:4" ht="38.25">
      <c r="A4" s="296" t="s">
        <v>240</v>
      </c>
      <c r="B4" s="296" t="s">
        <v>241</v>
      </c>
      <c r="C4" s="297" t="s">
        <v>242</v>
      </c>
      <c r="D4" s="297" t="s">
        <v>243</v>
      </c>
    </row>
    <row r="5" spans="1:4" ht="12.75">
      <c r="A5" s="151" t="s">
        <v>244</v>
      </c>
      <c r="B5" s="151">
        <v>73</v>
      </c>
      <c r="C5" s="151">
        <v>13</v>
      </c>
      <c r="D5" s="151">
        <f aca="true" t="shared" si="0" ref="D5:D7">B5*C5</f>
        <v>949</v>
      </c>
    </row>
    <row r="6" spans="1:4" ht="12.75">
      <c r="A6" s="151" t="s">
        <v>245</v>
      </c>
      <c r="B6" s="151">
        <v>23</v>
      </c>
      <c r="C6" s="151">
        <v>13</v>
      </c>
      <c r="D6" s="151">
        <f t="shared" si="0"/>
        <v>299</v>
      </c>
    </row>
    <row r="7" spans="1:4" ht="12.75">
      <c r="A7" s="151" t="s">
        <v>246</v>
      </c>
      <c r="B7" s="151">
        <v>4</v>
      </c>
      <c r="C7" s="151">
        <v>13</v>
      </c>
      <c r="D7" s="151">
        <f t="shared" si="0"/>
        <v>52</v>
      </c>
    </row>
    <row r="8" spans="1:4" ht="12.75">
      <c r="A8" s="296" t="s">
        <v>247</v>
      </c>
      <c r="B8" s="296">
        <f>SUM(B5:B7)</f>
        <v>100</v>
      </c>
      <c r="C8" s="296">
        <v>13</v>
      </c>
      <c r="D8" s="296">
        <f>SUM(D5:D7)</f>
        <v>1300</v>
      </c>
    </row>
    <row r="10" spans="1:3" ht="15">
      <c r="A10" s="298" t="s">
        <v>248</v>
      </c>
      <c r="B10" s="298"/>
      <c r="C10" s="298"/>
    </row>
    <row r="11" spans="1:3" ht="15">
      <c r="A11" s="299" t="s">
        <v>240</v>
      </c>
      <c r="B11" s="300" t="s">
        <v>22</v>
      </c>
      <c r="C11" s="300" t="s">
        <v>33</v>
      </c>
    </row>
    <row r="12" spans="1:3" ht="15">
      <c r="A12" s="299" t="s">
        <v>249</v>
      </c>
      <c r="B12" s="300">
        <v>73</v>
      </c>
      <c r="C12" s="300" t="s">
        <v>250</v>
      </c>
    </row>
    <row r="13" spans="1:3" ht="15">
      <c r="A13" s="299" t="s">
        <v>251</v>
      </c>
      <c r="B13" s="300">
        <v>23</v>
      </c>
      <c r="C13" s="300" t="s">
        <v>250</v>
      </c>
    </row>
    <row r="14" spans="1:3" ht="15">
      <c r="A14" s="299" t="s">
        <v>252</v>
      </c>
      <c r="B14" s="300">
        <v>4</v>
      </c>
      <c r="C14" s="300" t="s">
        <v>250</v>
      </c>
    </row>
    <row r="15" spans="1:3" ht="15">
      <c r="A15" s="301" t="s">
        <v>253</v>
      </c>
      <c r="B15" s="302">
        <f>SUM(B12:B14)</f>
        <v>100</v>
      </c>
      <c r="C15" s="302" t="s">
        <v>250</v>
      </c>
    </row>
    <row r="16" spans="1:3" ht="15">
      <c r="A16" s="303"/>
      <c r="B16" s="303"/>
      <c r="C16" s="303"/>
    </row>
    <row r="17" spans="1:3" ht="15">
      <c r="A17" s="304" t="s">
        <v>254</v>
      </c>
      <c r="B17" s="302" t="s">
        <v>22</v>
      </c>
      <c r="C17" s="302" t="s">
        <v>33</v>
      </c>
    </row>
    <row r="18" spans="1:3" ht="15">
      <c r="A18" s="305" t="s">
        <v>255</v>
      </c>
      <c r="B18" s="300">
        <v>63</v>
      </c>
      <c r="C18" s="300" t="s">
        <v>250</v>
      </c>
    </row>
    <row r="19" spans="1:3" ht="15">
      <c r="A19" s="305" t="s">
        <v>256</v>
      </c>
      <c r="B19" s="300">
        <v>3</v>
      </c>
      <c r="C19" s="300" t="s">
        <v>250</v>
      </c>
    </row>
    <row r="20" spans="1:3" ht="15">
      <c r="A20" s="305" t="s">
        <v>257</v>
      </c>
      <c r="B20" s="300">
        <v>3</v>
      </c>
      <c r="C20" s="300" t="s">
        <v>250</v>
      </c>
    </row>
    <row r="21" spans="1:3" ht="15">
      <c r="A21" s="305" t="s">
        <v>258</v>
      </c>
      <c r="B21" s="300">
        <v>0</v>
      </c>
      <c r="C21" s="300" t="s">
        <v>250</v>
      </c>
    </row>
    <row r="22" spans="1:3" ht="15">
      <c r="A22" s="305" t="s">
        <v>259</v>
      </c>
      <c r="B22" s="300">
        <v>2</v>
      </c>
      <c r="C22" s="300" t="s">
        <v>250</v>
      </c>
    </row>
    <row r="23" spans="1:3" ht="15">
      <c r="A23" s="305" t="s">
        <v>260</v>
      </c>
      <c r="B23" s="300">
        <v>2</v>
      </c>
      <c r="C23" s="300" t="s">
        <v>250</v>
      </c>
    </row>
    <row r="24" spans="1:3" ht="15">
      <c r="A24" s="305" t="s">
        <v>261</v>
      </c>
      <c r="B24" s="300">
        <v>2</v>
      </c>
      <c r="C24" s="300" t="s">
        <v>250</v>
      </c>
    </row>
    <row r="25" spans="1:3" ht="15">
      <c r="A25" s="305" t="s">
        <v>262</v>
      </c>
      <c r="B25" s="300">
        <v>7</v>
      </c>
      <c r="C25" s="300" t="s">
        <v>250</v>
      </c>
    </row>
    <row r="26" spans="1:3" ht="15">
      <c r="A26" s="305" t="s">
        <v>263</v>
      </c>
      <c r="B26" s="300">
        <v>2</v>
      </c>
      <c r="C26" s="300" t="s">
        <v>250</v>
      </c>
    </row>
    <row r="27" spans="1:3" ht="15">
      <c r="A27" s="305" t="s">
        <v>264</v>
      </c>
      <c r="B27" s="300">
        <v>0</v>
      </c>
      <c r="C27" s="300" t="s">
        <v>250</v>
      </c>
    </row>
    <row r="28" spans="1:3" ht="15">
      <c r="A28" s="305" t="s">
        <v>265</v>
      </c>
      <c r="B28" s="300">
        <v>2</v>
      </c>
      <c r="C28" s="300" t="s">
        <v>250</v>
      </c>
    </row>
    <row r="29" spans="1:3" ht="15">
      <c r="A29" s="305" t="s">
        <v>266</v>
      </c>
      <c r="B29" s="300">
        <v>1</v>
      </c>
      <c r="C29" s="300" t="s">
        <v>250</v>
      </c>
    </row>
    <row r="30" spans="1:3" ht="15">
      <c r="A30" s="305" t="s">
        <v>267</v>
      </c>
      <c r="B30" s="300">
        <v>9</v>
      </c>
      <c r="C30" s="300" t="s">
        <v>250</v>
      </c>
    </row>
    <row r="31" spans="1:3" ht="15">
      <c r="A31" s="305" t="s">
        <v>268</v>
      </c>
      <c r="B31" s="300">
        <v>1</v>
      </c>
      <c r="C31" s="300" t="s">
        <v>250</v>
      </c>
    </row>
    <row r="32" spans="1:3" ht="15">
      <c r="A32" s="305" t="s">
        <v>269</v>
      </c>
      <c r="B32" s="300">
        <v>0</v>
      </c>
      <c r="C32" s="300" t="s">
        <v>250</v>
      </c>
    </row>
    <row r="33" spans="1:3" ht="15">
      <c r="A33" s="305" t="s">
        <v>270</v>
      </c>
      <c r="B33" s="300">
        <v>3</v>
      </c>
      <c r="C33" s="300" t="s">
        <v>250</v>
      </c>
    </row>
    <row r="34" spans="1:3" ht="15">
      <c r="A34" s="305" t="s">
        <v>271</v>
      </c>
      <c r="B34" s="300">
        <v>0</v>
      </c>
      <c r="C34" s="300" t="s">
        <v>250</v>
      </c>
    </row>
    <row r="35" spans="1:3" ht="15">
      <c r="A35" s="301" t="s">
        <v>253</v>
      </c>
      <c r="B35" s="302">
        <f>SUM(B18:B34)</f>
        <v>100</v>
      </c>
      <c r="C35" s="300" t="s">
        <v>250</v>
      </c>
    </row>
  </sheetData>
  <sheetProtection selectLockedCells="1" selectUnlockedCells="1"/>
  <mergeCells count="2">
    <mergeCell ref="A10:C10"/>
    <mergeCell ref="A16:C16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subject/>
  <dc:creator>Flavia Burmeister Martins</dc:creator>
  <cp:keywords/>
  <dc:description/>
  <cp:lastModifiedBy>PC-Compras01</cp:lastModifiedBy>
  <cp:lastPrinted>2020-09-07T23:36:00Z</cp:lastPrinted>
  <dcterms:created xsi:type="dcterms:W3CDTF">2000-12-13T13:02:00Z</dcterms:created>
  <dcterms:modified xsi:type="dcterms:W3CDTF">2020-09-08T14:28:15Z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dmlu</vt:lpwstr>
  </property>
  <property fmtid="{D5CDD505-2E9C-101B-9397-08002B2CF9AE}" pid="3" name="KSOProductBuildVer">
    <vt:lpwstr>1046-11.2.0.9363</vt:lpwstr>
  </property>
</Properties>
</file>